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T20i2vlohoZybz8lhow7JlK8mpBW7ufCx8E0vj2Sj/rcL4B2benvc8OgVZL8KC/BJnghdM3hEcTrN14Pc3+GYQ==" workbookSaltValue="dwjJp1/ftAvF/KD38u2ka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ER19" i="8"/>
  <c r="EQ19" i="8"/>
  <c r="BA13" i="16"/>
  <c r="AC17" i="11"/>
  <c r="G18" i="12"/>
  <c r="W19" i="13"/>
  <c r="AL13" i="16"/>
  <c r="S13" i="16"/>
  <c r="P13" i="16"/>
  <c r="AN13" i="20"/>
  <c r="Z13" i="17"/>
  <c r="H13" i="12"/>
  <c r="T13" i="12"/>
  <c r="BG9" i="8"/>
  <c r="BF9" i="8"/>
  <c r="E13" i="17"/>
  <c r="T13" i="20"/>
  <c r="T13" i="16"/>
  <c r="AP13" i="16"/>
  <c r="BG15" i="13"/>
  <c r="J20" i="20"/>
  <c r="AF20" i="20"/>
  <c r="M20" i="20"/>
  <c r="AG20" i="20"/>
  <c r="S20" i="20"/>
  <c r="K20" i="20"/>
  <c r="Z20" i="20"/>
  <c r="AM20" i="20"/>
  <c r="AK20" i="20"/>
  <c r="W20" i="21"/>
  <c r="F20" i="20"/>
  <c r="AN17" i="11" l="1"/>
  <c r="I19" i="8"/>
  <c r="D18" i="12"/>
  <c r="AR18" i="11"/>
  <c r="AJ19" i="8"/>
  <c r="Z19" i="8"/>
  <c r="T19" i="8"/>
  <c r="C19" i="3"/>
  <c r="AA19" i="8"/>
  <c r="BA13" i="8"/>
  <c r="D17" i="6"/>
  <c r="J17" i="12" s="1"/>
  <c r="BD15" i="8"/>
  <c r="H15" i="7" s="1"/>
  <c r="G18" i="2"/>
  <c r="BF12" i="8"/>
  <c r="AY13" i="8"/>
  <c r="BE9" i="8"/>
  <c r="I9" i="7" s="1"/>
  <c r="AC12" i="11"/>
  <c r="BD11" i="13"/>
  <c r="BB13" i="13"/>
  <c r="F11" i="16"/>
  <c r="T11" i="11"/>
  <c r="R8" i="9"/>
  <c r="S16" i="14" s="1"/>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I10" i="7" s="1"/>
  <c r="BE11" i="8"/>
  <c r="I11" i="7" s="1"/>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R17" i="14"/>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J17" i="11"/>
  <c r="BL17" i="11"/>
  <c r="BF10" i="11"/>
  <c r="S9" i="14"/>
  <c r="V9" i="14" s="1"/>
  <c r="R17" i="20"/>
  <c r="R18" i="20" s="1"/>
  <c r="BW16" i="20"/>
  <c r="BV10" i="16"/>
  <c r="S12" i="14"/>
  <c r="V12" i="14" s="1"/>
  <c r="BL10" i="11"/>
  <c r="BG16" i="11"/>
  <c r="Q16" i="11" s="1"/>
  <c r="BK10" i="11"/>
  <c r="U9" i="17"/>
  <c r="U19" i="17" s="1"/>
  <c r="AP16" i="20"/>
  <c r="V15" i="11"/>
  <c r="BH15" i="11"/>
  <c r="Q17" i="20"/>
  <c r="Q18" i="20" s="1"/>
  <c r="BK12" i="11"/>
  <c r="BK9" i="11"/>
  <c r="V11" i="11"/>
  <c r="Q10" i="21"/>
  <c r="BI15" i="11"/>
  <c r="BJ12" i="11"/>
  <c r="BG15" i="11"/>
  <c r="BK17" i="11"/>
  <c r="BK18" i="11" s="1"/>
  <c r="T15" i="16"/>
  <c r="BW9" i="20"/>
  <c r="BW21" i="20" s="1"/>
  <c r="BV16" i="16"/>
  <c r="BV15" i="16"/>
  <c r="BU9" i="17"/>
  <c r="BU17" i="17"/>
  <c r="BV9" i="16"/>
  <c r="S11" i="14"/>
  <c r="V11" i="14" s="1"/>
  <c r="P15" i="17"/>
  <c r="P18" i="17" s="1"/>
  <c r="P19" i="17" s="1"/>
  <c r="BL15" i="11"/>
  <c r="Q15" i="11" s="1"/>
  <c r="BJ10" i="11"/>
  <c r="BH11" i="11"/>
  <c r="S17" i="17"/>
  <c r="BH12" i="16"/>
  <c r="S15" i="17"/>
  <c r="L15" i="2"/>
  <c r="X15" i="16"/>
  <c r="X18" i="16" s="1"/>
  <c r="V10" i="16"/>
  <c r="V9" i="16"/>
  <c r="BH9" i="16"/>
  <c r="BH15" i="16"/>
  <c r="BK11" i="11"/>
  <c r="BI10" i="11"/>
  <c r="BJ15" i="11"/>
  <c r="BJ18" i="11" s="1"/>
  <c r="AP15" i="20"/>
  <c r="T17" i="16"/>
  <c r="BU15" i="17"/>
  <c r="BW17" i="20"/>
  <c r="BW15" i="20"/>
  <c r="BU16" i="17"/>
  <c r="BU21" i="17" s="1"/>
  <c r="S15" i="16"/>
  <c r="BF12" i="11"/>
  <c r="P12" i="11" s="1"/>
  <c r="BK16" i="11"/>
  <c r="BM9" i="11"/>
  <c r="L17" i="2"/>
  <c r="L9" i="2"/>
  <c r="AA9" i="16"/>
  <c r="R11" i="14"/>
  <c r="T12" i="11"/>
  <c r="Q9" i="11"/>
  <c r="I15" i="12"/>
  <c r="H19" i="21"/>
  <c r="AB21" i="21"/>
  <c r="K16" i="12"/>
  <c r="BE13" i="13"/>
  <c r="BA19" i="13"/>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G19" i="20"/>
  <c r="E19" i="2"/>
  <c r="BV13" i="16"/>
  <c r="D19"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17" i="12" l="1"/>
  <c r="G21" i="21"/>
  <c r="S13" i="14"/>
  <c r="BH13" i="11"/>
  <c r="U13" i="17"/>
  <c r="Q19" i="20"/>
  <c r="S18" i="16"/>
  <c r="S19" i="16" s="1"/>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<sst xmlns="http://schemas.openxmlformats.org/spreadsheetml/2006/main" count="2080" uniqueCount="906">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</sst>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orR0Z7UHMyG5rSPiRLHQUNLYL49fF13b4ntH4p1naw71EfagD3eVKDnZyDLW0b/ivJ1+yyPa0iKG5KDcZ9yEw==" saltValue="I6wOlLHni3uztTgZDyr+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3.7634530418035572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97</v>
      </c>
      <c r="D10" s="228">
        <f>IF(ISNUMBER(Datos!I10),Datos!I10," - ")</f>
        <v>97</v>
      </c>
      <c r="E10" s="229">
        <f>IF(ISNUMBER(Datos!J10),Datos!J10," - ")</f>
        <v>138</v>
      </c>
      <c r="F10" s="229">
        <f>IF(ISNUMBER(Datos!K10),Datos!K10," - ")</f>
        <v>161</v>
      </c>
      <c r="G10" s="1037" t="str">
        <f>IF(Datos!E10&lt;&gt;"",Datos!E10,Datos!D10)</f>
        <v>37</v>
      </c>
      <c r="H10" s="230">
        <f>IF(ISNUMBER(Datos!L10),Datos!L10," - ")</f>
        <v>74</v>
      </c>
      <c r="I10" s="1047" t="str">
        <f>IF(ISNUMBER(Datos!AS10/Datos!BM10),Datos!AS10/Datos!BM10," - ")</f>
        <v xml:space="preserve"> - </v>
      </c>
      <c r="J10" s="1048">
        <f>IF(ISNUMBER(Datos!BY10/Datos!CN10),Datos!BY10/Datos!CN10," - ")</f>
        <v>0</v>
      </c>
      <c r="K10" s="233">
        <f t="shared" ref="K10:K12" si="1">IF(ISNUMBER((E10-F10)/C10),(E10-F10)/C10," - ")</f>
        <v>-0.23711340206185566</v>
      </c>
      <c r="L10" s="1028">
        <f>IF(ISNUMBER(NºAsuntos!I10/NºAsuntos!G10),(NºAsuntos!I10/NºAsuntos!G10)*11," - ")</f>
        <v>5.0559006211180124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97</v>
      </c>
      <c r="D13" s="1052">
        <f>SUBTOTAL(9,D9:D12)</f>
        <v>97</v>
      </c>
      <c r="E13" s="1053">
        <f>SUBTOTAL(9,E9:E12)</f>
        <v>138</v>
      </c>
      <c r="F13" s="1054">
        <f>SUBTOTAL(9,F9:F12)</f>
        <v>161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1921</v>
      </c>
      <c r="D15" s="228">
        <f>IF(ISNUMBER(IF(D_I="SI",Datos!I15,Datos!I15+Datos!AC15)),IF(D_I="SI",Datos!I15,Datos!I15+Datos!AC15)," - ")</f>
        <v>1811</v>
      </c>
      <c r="E15" s="229">
        <f>IF(ISNUMBER(IF(D_I="SI",Datos!J15,Datos!J15+Datos!AD15)),IF(D_I="SI",Datos!J15,Datos!J15+Datos!AD15)," - ")</f>
        <v>7609</v>
      </c>
      <c r="F15" s="229">
        <f>IF(ISNUMBER(IF(D_I="SI",Datos!K15,Datos!K15+Datos!AE15)),IF(D_I="SI",Datos!K15,Datos!K15+Datos!AE15)," - ")</f>
        <v>7154</v>
      </c>
      <c r="G15" s="1037" t="str">
        <f>IF(Datos!E15&lt;&gt;"",Datos!E15,Datos!D15)</f>
        <v>03</v>
      </c>
      <c r="H15" s="230">
        <f>IF(ISNUMBER(IF(D_I="SI",Datos!L15,Datos!L15+Datos!AF15)),IF(D_I="SI",Datos!L15,Datos!L15+Datos!AF15)," - ")</f>
        <v>2376</v>
      </c>
      <c r="I15" s="1047" t="str">
        <f>IF(ISNUMBER(Datos!AS15/Datos!BM15),Datos!AS15/Datos!BM15," - ")</f>
        <v xml:space="preserve"> - </v>
      </c>
      <c r="J15" s="1048">
        <f>IF(ISNUMBER(Datos!BY15/Datos!CN15),Datos!BY15/Datos!CN15," - ")</f>
        <v>0</v>
      </c>
      <c r="K15" s="233">
        <f t="shared" ref="K15:K17" si="3">IF(ISNUMBER((E15-F15)/C15),(E15-F15)/C15," - ")</f>
        <v>0.23685580426861011</v>
      </c>
      <c r="L15" s="1028">
        <f>IF(ISNUMBER(NºAsuntos!I15/NºAsuntos!G15),(NºAsuntos!I15/NºAsuntos!G15)*11," - ")</f>
        <v>3.653340788370143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14</v>
      </c>
      <c r="D16" s="228">
        <f>IF(ISNUMBER(IF(D_I="SI",Datos!I16,Datos!I16+Datos!AC16)),IF(D_I="SI",Datos!I16,Datos!I16+Datos!AC16)," - ")</f>
        <v>16</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14</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185</v>
      </c>
      <c r="D17" s="228">
        <f>IF(ISNUMBER(IF(D_I="SI",Datos!I17,Datos!I17+Datos!AC17)),IF(D_I="SI",Datos!I17,Datos!I17+Datos!AC17)," - ")</f>
        <v>182</v>
      </c>
      <c r="E17" s="229">
        <f>IF(ISNUMBER(IF(D_I="SI",Datos!J17,Datos!J17+Datos!AD17)),IF(D_I="SI",Datos!J17,Datos!J17+Datos!AD17)," - ")</f>
        <v>1232</v>
      </c>
      <c r="F17" s="229">
        <f>IF(ISNUMBER(IF(D_I="SI",Datos!K17,Datos!K17+Datos!AE17)),IF(D_I="SI",Datos!K17,Datos!K17+Datos!AE17)," - ")</f>
        <v>1252</v>
      </c>
      <c r="G17" s="1037" t="str">
        <f>IF(Datos!E17&lt;&gt;"",Datos!E17,Datos!D17)</f>
        <v>37</v>
      </c>
      <c r="H17" s="230">
        <f>IF(ISNUMBER(IF(D_I="SI",Datos!L17,Datos!L17+Datos!AF17)),IF(D_I="SI",Datos!L17,Datos!L17+Datos!AF17)," - ")</f>
        <v>165</v>
      </c>
      <c r="I17" s="1047" t="str">
        <f>IF(ISNUMBER(Datos!AS17/Datos!BM17),Datos!AS17/Datos!BM17," - ")</f>
        <v xml:space="preserve"> - </v>
      </c>
      <c r="J17" s="1048" t="str">
        <f>IF(ISNUMBER((Datos!BY17+Datos!BZ17)/Datos!CN17),(Datos!BY17+Datos!BZ17)/Datos!CN17," - ")</f>
        <v xml:space="preserve"> - </v>
      </c>
      <c r="K17" s="233">
        <f t="shared" si="3"/>
        <v>-0.10810810810810811</v>
      </c>
      <c r="L17" s="1028">
        <f>IF(ISNUMBER(NºAsuntos!I17/NºAsuntos!G17),(NºAsuntos!I17/NºAsuntos!G17)*11," - ")</f>
        <v>1.4496805111821085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2120</v>
      </c>
      <c r="D18" s="1052">
        <f>SUBTOTAL(9,D15:D17)</f>
        <v>2009</v>
      </c>
      <c r="E18" s="1053">
        <f>SUBTOTAL(9,E15:E17)</f>
        <v>8841</v>
      </c>
      <c r="F18" s="1053">
        <f>SUBTOTAL(9,F15:F17)</f>
        <v>8406</v>
      </c>
      <c r="G18" s="1055" t="str">
        <f ca="1">INDIRECT(CONCATENATE("G",ROW()-1))</f>
        <v>37</v>
      </c>
      <c r="H18" s="1056">
        <f ca="1">SUMIF(G$14:G17,G18,H$14:H17)</f>
        <v>165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2217</v>
      </c>
      <c r="D19" s="1074">
        <f>SUBTOTAL(9,D9:D18)</f>
        <v>2106</v>
      </c>
      <c r="E19" s="1075">
        <f>SUBTOTAL(9,E9:E18)</f>
        <v>8979</v>
      </c>
      <c r="F19" s="1075">
        <f>SUBTOTAL(9,F9:F18)</f>
        <v>8567</v>
      </c>
      <c r="G19" s="1076"/>
      <c r="H19" s="1077">
        <f ca="1">SUMIF(B9:B18,"TOTAL",H9:H18)</f>
        <v>165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oBWb5NZ8dj72hwI7co+BywW6146X5NnAGipqTPpsw77oi6lfC4RKN8oz0i2+EECzyrq3eLsEfo5vRcV4VKag6A==" saltValue="tlfv2iD71mF4Vwl3Y13A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PSshX969MupXyXG5MwlFG5tRZ8L4kAyqK3FB9TZgYl2FFNiBCEH7P+zJb3bjX/wBrc3dL9yVjO9ZAIbEkPCWRA==" saltValue="r5bhunNCUM2oWgfYdJ/R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2445</v>
      </c>
      <c r="J9" s="184">
        <v>8461</v>
      </c>
      <c r="K9" s="184">
        <v>7999</v>
      </c>
      <c r="L9" s="184">
        <v>2927</v>
      </c>
      <c r="M9" s="184">
        <v>1783</v>
      </c>
      <c r="N9" s="184">
        <v>3727</v>
      </c>
      <c r="O9" s="184">
        <v>4229</v>
      </c>
      <c r="P9" s="184">
        <v>2578</v>
      </c>
      <c r="Q9" s="184">
        <v>1118</v>
      </c>
      <c r="R9" s="184">
        <v>9031</v>
      </c>
      <c r="S9" s="184">
        <v>2979</v>
      </c>
      <c r="T9" s="184">
        <v>7427</v>
      </c>
      <c r="U9" s="184">
        <v>7800</v>
      </c>
      <c r="V9" s="184">
        <v>2445</v>
      </c>
      <c r="W9" s="184">
        <v>1892</v>
      </c>
      <c r="X9" s="191">
        <v>3615</v>
      </c>
      <c r="Y9" s="194">
        <v>105</v>
      </c>
      <c r="Z9" s="184">
        <v>814</v>
      </c>
      <c r="AA9" s="184">
        <v>828</v>
      </c>
      <c r="AB9" s="184">
        <v>93</v>
      </c>
      <c r="AC9" s="184">
        <v>0</v>
      </c>
      <c r="AD9" s="184">
        <v>0</v>
      </c>
      <c r="AE9" s="184">
        <v>0</v>
      </c>
      <c r="AF9" s="191">
        <v>0</v>
      </c>
      <c r="AG9" s="194">
        <v>96</v>
      </c>
      <c r="AH9" s="184">
        <v>877</v>
      </c>
      <c r="AI9" s="184">
        <v>868</v>
      </c>
      <c r="AJ9" s="195">
        <v>105</v>
      </c>
      <c r="AK9" s="183">
        <v>0</v>
      </c>
      <c r="AL9" s="184">
        <v>0</v>
      </c>
      <c r="AM9" s="184">
        <v>0</v>
      </c>
      <c r="AN9" s="191">
        <v>0</v>
      </c>
      <c r="AO9" s="261">
        <v>6</v>
      </c>
      <c r="AP9" s="157">
        <v>6</v>
      </c>
      <c r="AQ9" s="157">
        <v>6</v>
      </c>
      <c r="AR9" s="196">
        <v>6</v>
      </c>
      <c r="AS9" s="341" t="s">
        <v>792</v>
      </c>
      <c r="AT9" s="198"/>
      <c r="AU9" s="197"/>
      <c r="AV9" s="198"/>
      <c r="AW9" s="197"/>
      <c r="AX9" s="198"/>
      <c r="AY9" s="123">
        <f>IF(ISNUMBER(IF(J_V="SI",S9,S9+AG9)),IF(J_V="SI",S9,S9+AG9)," - ")</f>
        <v>3075</v>
      </c>
      <c r="AZ9" s="123">
        <f>IF(ISNUMBER(IF(J_V="SI",T9,T9+AH9)),IF(J_V="SI",T9,T9+AH9)," - ")</f>
        <v>8304</v>
      </c>
      <c r="BA9" s="124">
        <f>IF(ISNUMBER(IF(J_V="SI",U9,U9+AI9)),IF(J_V="SI",U9,U9+AI9)," - ")</f>
        <v>8668</v>
      </c>
      <c r="BB9" s="124">
        <f>IF(ISNUMBER(IF(J_V="SI",V9,V9+AJ9)),IF(J_V="SI",V9,V9+AJ9)," - ")</f>
        <v>2550</v>
      </c>
      <c r="BC9" s="125">
        <f>IF(ISNUMBER(X9),X9," - ")</f>
        <v>3615</v>
      </c>
      <c r="BD9" s="126">
        <f>IF(ISNUMBER(BA9/AZ9),BA9/AZ9," - ")</f>
        <v>1.04383429672447</v>
      </c>
      <c r="BE9" s="127">
        <f>IF(ISNUMBER(BB9/BA9),BB9/BA9, " - ")</f>
        <v>0.29418550992155051</v>
      </c>
      <c r="BF9" s="127">
        <f>IF(ISNUMBER(BC9/BA9),BC9/BA9, " - ")</f>
        <v>0.41705122288878632</v>
      </c>
      <c r="BG9" s="199">
        <f>IF(ISNUMBER((AY9+AZ9)/BA9),(AY9+AZ9)/BA9," - ")</f>
        <v>1.3127595754499308</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97</v>
      </c>
      <c r="J10" s="184">
        <v>138</v>
      </c>
      <c r="K10" s="184">
        <v>161</v>
      </c>
      <c r="L10" s="184">
        <v>74</v>
      </c>
      <c r="M10" s="184">
        <v>50</v>
      </c>
      <c r="N10" s="184">
        <v>70</v>
      </c>
      <c r="O10" s="184">
        <v>19</v>
      </c>
      <c r="P10" s="184">
        <v>23</v>
      </c>
      <c r="Q10" s="184">
        <v>61</v>
      </c>
      <c r="R10" s="184">
        <v>30</v>
      </c>
      <c r="S10" s="184">
        <v>90</v>
      </c>
      <c r="T10" s="184">
        <v>104</v>
      </c>
      <c r="U10" s="184">
        <v>97</v>
      </c>
      <c r="V10" s="184">
        <v>97</v>
      </c>
      <c r="W10" s="184">
        <v>49</v>
      </c>
      <c r="X10" s="191">
        <v>41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786</v>
      </c>
      <c r="AT10" s="195"/>
      <c r="AU10" s="203"/>
      <c r="AV10" s="195"/>
      <c r="AW10" s="203"/>
      <c r="AX10" s="195"/>
      <c r="AY10" s="128">
        <f t="shared" ref="AY10:BC10" si="0">IF(ISNUMBER(S10),S10," - ")</f>
        <v>90</v>
      </c>
      <c r="AZ10" s="129">
        <f t="shared" si="0"/>
        <v>104</v>
      </c>
      <c r="BA10" s="129">
        <f t="shared" si="0"/>
        <v>97</v>
      </c>
      <c r="BB10" s="129">
        <f t="shared" si="0"/>
        <v>97</v>
      </c>
      <c r="BC10" s="125">
        <f t="shared" si="0"/>
        <v>49</v>
      </c>
      <c r="BD10" s="126">
        <f>IF(ISNUMBER(BA10/AZ10),BA10/AZ10," - ")</f>
        <v>0.93269230769230771</v>
      </c>
      <c r="BE10" s="127">
        <f>IF(ISNUMBER(BB10/BA10),BB10/BA10, " - ")</f>
        <v>1</v>
      </c>
      <c r="BF10" s="127">
        <f>IF(ISNUMBER(BC10/BA10),BC10/BA10, " - ")</f>
        <v>0.50515463917525771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799</v>
      </c>
      <c r="J12" s="186" t="s">
        <v>793</v>
      </c>
      <c r="K12" s="186" t="s">
        <v>844</v>
      </c>
      <c r="L12" s="186" t="s">
        <v>804</v>
      </c>
      <c r="M12" s="186" t="s">
        <v>483</v>
      </c>
      <c r="N12" s="186" t="s">
        <v>497</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795</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2542</v>
      </c>
      <c r="J13" s="187">
        <f t="shared" si="6"/>
        <v>8599</v>
      </c>
      <c r="K13" s="187">
        <f t="shared" si="6"/>
        <v>8160</v>
      </c>
      <c r="L13" s="187">
        <f t="shared" si="6"/>
        <v>3001</v>
      </c>
      <c r="M13" s="187">
        <f t="shared" si="6"/>
        <v>1833</v>
      </c>
      <c r="N13" s="187">
        <f t="shared" si="6"/>
        <v>3797</v>
      </c>
      <c r="O13" s="187">
        <f t="shared" si="6"/>
        <v>4248</v>
      </c>
      <c r="P13" s="187">
        <f t="shared" si="6"/>
        <v>2601</v>
      </c>
      <c r="Q13" s="187">
        <f t="shared" si="6"/>
        <v>1179</v>
      </c>
      <c r="R13" s="187">
        <f t="shared" si="6"/>
        <v>9061</v>
      </c>
      <c r="S13" s="187">
        <f t="shared" si="6"/>
        <v>3069</v>
      </c>
      <c r="T13" s="187">
        <f t="shared" si="6"/>
        <v>7531</v>
      </c>
      <c r="U13" s="187">
        <f t="shared" si="6"/>
        <v>7897</v>
      </c>
      <c r="V13" s="187">
        <f t="shared" si="6"/>
        <v>2542</v>
      </c>
      <c r="W13" s="187">
        <f t="shared" si="6"/>
        <v>1941</v>
      </c>
      <c r="X13" s="187">
        <f t="shared" si="6"/>
        <v>3656</v>
      </c>
      <c r="Y13" s="187">
        <f t="shared" si="6"/>
        <v>105</v>
      </c>
      <c r="Z13" s="187">
        <f t="shared" si="6"/>
        <v>814</v>
      </c>
      <c r="AA13" s="187">
        <f t="shared" si="6"/>
        <v>828</v>
      </c>
      <c r="AB13" s="187">
        <f t="shared" si="6"/>
        <v>93</v>
      </c>
      <c r="AC13" s="187">
        <f t="shared" si="6"/>
        <v>0</v>
      </c>
      <c r="AD13" s="187">
        <f t="shared" si="6"/>
        <v>0</v>
      </c>
      <c r="AE13" s="187">
        <f t="shared" si="6"/>
        <v>0</v>
      </c>
      <c r="AF13" s="187">
        <f>SUBTOTAL(9,AF9:AF12)</f>
        <v>0</v>
      </c>
      <c r="AG13" s="187">
        <f t="shared" ref="AG13:AT13" si="7">SUBTOTAL(9,AG8:AG12)</f>
        <v>96</v>
      </c>
      <c r="AH13" s="187">
        <f t="shared" si="7"/>
        <v>877</v>
      </c>
      <c r="AI13" s="187">
        <f t="shared" si="7"/>
        <v>868</v>
      </c>
      <c r="AJ13" s="187">
        <f t="shared" si="7"/>
        <v>105</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3165</v>
      </c>
      <c r="AZ13" s="187">
        <f>SUBTOTAL(9,AZ8:AZ12)</f>
        <v>8408</v>
      </c>
      <c r="BA13" s="187">
        <f>SUBTOTAL(9,BA8:BA12)</f>
        <v>8765</v>
      </c>
      <c r="BB13" s="187">
        <f>SUBTOTAL(9,BB8:BB12)</f>
        <v>2647</v>
      </c>
      <c r="BC13" s="187">
        <f>SUBTOTAL(9,BC8:BC12)</f>
        <v>3664</v>
      </c>
      <c r="BD13" s="208">
        <f>IF(ISNUMBER(BA13/AZ13),BA13/AZ13," - ")</f>
        <v>1.0424595623215984</v>
      </c>
      <c r="BE13" s="209">
        <f>IF(ISNUMBER(BB13/BA13),BB13/BA13, " - ")</f>
        <v>0.30199657729606388</v>
      </c>
      <c r="BF13" s="209">
        <f>IF(ISNUMBER(BC13/BA13),BC13/BA13, " - ")</f>
        <v>0.41802624073017686</v>
      </c>
      <c r="BG13" s="210">
        <f>IF(ISNUMBER((AY13+AZ13)/BA13),(AY13+AZ13)/BA13," - ")</f>
        <v>1.3203650884198517</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1811</v>
      </c>
      <c r="J15" s="186">
        <v>7609</v>
      </c>
      <c r="K15" s="186">
        <v>7154</v>
      </c>
      <c r="L15" s="186">
        <v>2376</v>
      </c>
      <c r="M15" s="186">
        <v>1143</v>
      </c>
      <c r="N15" s="186">
        <v>4258</v>
      </c>
      <c r="O15" s="184">
        <v>120</v>
      </c>
      <c r="P15" s="186">
        <v>308</v>
      </c>
      <c r="Q15" s="186">
        <v>285</v>
      </c>
      <c r="R15" s="186">
        <v>297</v>
      </c>
      <c r="S15" s="186">
        <v>1604</v>
      </c>
      <c r="T15" s="186">
        <v>7465</v>
      </c>
      <c r="U15" s="186">
        <v>7335</v>
      </c>
      <c r="V15" s="186">
        <v>1811</v>
      </c>
      <c r="W15" s="186">
        <v>1242</v>
      </c>
      <c r="X15" s="192">
        <v>3997</v>
      </c>
      <c r="Y15" s="205">
        <v>0</v>
      </c>
      <c r="Z15" s="186">
        <v>0</v>
      </c>
      <c r="AA15" s="186">
        <v>0</v>
      </c>
      <c r="AB15" s="186">
        <v>0</v>
      </c>
      <c r="AC15" s="186">
        <v>0</v>
      </c>
      <c r="AD15" s="186">
        <v>1</v>
      </c>
      <c r="AE15" s="186">
        <v>1</v>
      </c>
      <c r="AF15" s="192">
        <v>0</v>
      </c>
      <c r="AG15" s="205">
        <v>0</v>
      </c>
      <c r="AH15" s="186">
        <v>0</v>
      </c>
      <c r="AI15" s="186">
        <v>0</v>
      </c>
      <c r="AJ15" s="206">
        <v>0</v>
      </c>
      <c r="AK15" s="185">
        <v>0</v>
      </c>
      <c r="AL15" s="186">
        <v>3</v>
      </c>
      <c r="AM15" s="186">
        <v>3</v>
      </c>
      <c r="AN15" s="192">
        <v>0</v>
      </c>
      <c r="AO15" s="262">
        <v>3</v>
      </c>
      <c r="AP15" s="158">
        <v>3</v>
      </c>
      <c r="AQ15" s="158">
        <v>3</v>
      </c>
      <c r="AR15" s="158">
        <v>3</v>
      </c>
      <c r="AS15" s="343" t="s">
        <v>519</v>
      </c>
      <c r="AT15" s="206" t="s">
        <v>326</v>
      </c>
      <c r="AU15" s="205"/>
      <c r="AV15" s="206"/>
      <c r="AW15" s="205"/>
      <c r="AX15" s="206"/>
      <c r="AY15" s="128">
        <f t="shared" ref="AY15:BB16" si="9">IF(ISNUMBER(IF(D_I="SI",S15,S15+AK15)),IF(D_I="SI",S15,S15+AK15)," - ")</f>
        <v>1604</v>
      </c>
      <c r="AZ15" s="129">
        <f t="shared" si="9"/>
        <v>7465</v>
      </c>
      <c r="BA15" s="129">
        <f t="shared" si="9"/>
        <v>7335</v>
      </c>
      <c r="BB15" s="129">
        <f t="shared" si="9"/>
        <v>1811</v>
      </c>
      <c r="BC15" s="125">
        <f>IF(ISNUMBER(W15),W15," - ")</f>
        <v>1242</v>
      </c>
      <c r="BD15" s="126">
        <f>IF(ISNUMBER(BA15/AZ15),BA15/AZ15," - ")</f>
        <v>0.98258539852645677</v>
      </c>
      <c r="BE15" s="127">
        <f>IF(ISNUMBER(BB15/BA15),BB15/BA15, " - ")</f>
        <v>0.2468984321745058</v>
      </c>
      <c r="BF15" s="127">
        <f>IF(ISNUMBER(BC15/BA15),BC15/BA15, " - ")</f>
        <v>0.16932515337423312</v>
      </c>
      <c r="BG15" s="199">
        <f t="shared" ref="BG15:BG16" si="10">IF(ISNUMBER((AY15+AZ15)/BA15),(AY15+AZ15)/BA15," - ")</f>
        <v>1.2364008179959101</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16</v>
      </c>
      <c r="J16" s="186">
        <v>0</v>
      </c>
      <c r="K16" s="186">
        <v>0</v>
      </c>
      <c r="L16" s="186">
        <v>14</v>
      </c>
      <c r="M16" s="186">
        <v>0</v>
      </c>
      <c r="N16" s="186">
        <v>0</v>
      </c>
      <c r="O16" s="184">
        <v>0</v>
      </c>
      <c r="P16" s="186">
        <v>0</v>
      </c>
      <c r="Q16" s="186">
        <v>2</v>
      </c>
      <c r="R16" s="186">
        <v>6</v>
      </c>
      <c r="S16" s="186">
        <v>18</v>
      </c>
      <c r="T16" s="186">
        <v>0</v>
      </c>
      <c r="U16" s="186">
        <v>2</v>
      </c>
      <c r="V16" s="186">
        <v>16</v>
      </c>
      <c r="W16" s="186">
        <v>0</v>
      </c>
      <c r="X16" s="192">
        <v>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18</v>
      </c>
      <c r="AZ16" s="127">
        <f t="shared" si="9"/>
        <v>0</v>
      </c>
      <c r="BA16" s="127">
        <f t="shared" si="9"/>
        <v>2</v>
      </c>
      <c r="BB16" s="127">
        <f t="shared" si="9"/>
        <v>16</v>
      </c>
      <c r="BC16" s="125">
        <f>IF(ISNUMBER(W16),W16," - ")</f>
        <v>0</v>
      </c>
      <c r="BD16" s="126" t="str">
        <f t="shared" ref="BD16" si="11">IF(ISNUMBER(BA16/AZ16),BA16/AZ16," - ")</f>
        <v xml:space="preserve"> - </v>
      </c>
      <c r="BE16" s="127">
        <f t="shared" ref="BE16" si="12">IF(ISNUMBER(BB16/BA16),BB16/BA16, " - ")</f>
        <v>8</v>
      </c>
      <c r="BF16" s="127">
        <f t="shared" ref="BF16" si="13">IF(ISNUMBER(BC16/BA16),BC16/BA16, " - ")</f>
        <v>0</v>
      </c>
      <c r="BG16" s="199">
        <f t="shared" si="10"/>
        <v>9</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182</v>
      </c>
      <c r="J17" s="186">
        <v>1232</v>
      </c>
      <c r="K17" s="186">
        <v>1252</v>
      </c>
      <c r="L17" s="186">
        <v>165</v>
      </c>
      <c r="M17" s="186">
        <v>248</v>
      </c>
      <c r="N17" s="186">
        <v>662</v>
      </c>
      <c r="O17" s="186">
        <v>45</v>
      </c>
      <c r="P17" s="186">
        <v>43</v>
      </c>
      <c r="Q17" s="186">
        <v>45</v>
      </c>
      <c r="R17" s="186">
        <v>16</v>
      </c>
      <c r="S17" s="186">
        <v>118</v>
      </c>
      <c r="T17" s="186">
        <v>1277</v>
      </c>
      <c r="U17" s="186">
        <v>1218</v>
      </c>
      <c r="V17" s="186">
        <v>182</v>
      </c>
      <c r="W17" s="186">
        <v>240</v>
      </c>
      <c r="X17" s="192">
        <v>589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785</v>
      </c>
      <c r="AT17" s="212"/>
      <c r="AU17" s="203"/>
      <c r="AV17" s="212"/>
      <c r="AW17" s="203"/>
      <c r="AX17" s="212"/>
      <c r="AY17" s="128">
        <f t="shared" ref="AY17:BB17" si="14">IF(ISNUMBER(S17),S17," - ")</f>
        <v>118</v>
      </c>
      <c r="AZ17" s="129">
        <f t="shared" si="14"/>
        <v>1277</v>
      </c>
      <c r="BA17" s="129">
        <f t="shared" si="14"/>
        <v>1218</v>
      </c>
      <c r="BB17" s="129">
        <f t="shared" si="14"/>
        <v>182</v>
      </c>
      <c r="BC17" s="125">
        <f>IF(ISNUMBER(W17),W17," - ")</f>
        <v>240</v>
      </c>
      <c r="BD17" s="126">
        <f>IF(ISNUMBER(BA17/AZ17),BA17/AZ17," - ")</f>
        <v>0.95379796397807359</v>
      </c>
      <c r="BE17" s="127">
        <f>IF(ISNUMBER(BB17/BA17),BB17/BA17, " - ")</f>
        <v>0.14942528735632185</v>
      </c>
      <c r="BF17" s="127">
        <f>IF(ISNUMBER(BC17/BA17),BC17/BA17, " - ")</f>
        <v>0.19704433497536947</v>
      </c>
      <c r="BG17" s="199">
        <f>IF(ISNUMBER((AY17+AZ17)/BA17),(AY17+AZ17)/BA17," - ")</f>
        <v>1.145320197044335</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2009</v>
      </c>
      <c r="J18" s="187">
        <f t="shared" si="15"/>
        <v>8841</v>
      </c>
      <c r="K18" s="187">
        <f t="shared" si="15"/>
        <v>8406</v>
      </c>
      <c r="L18" s="187">
        <f t="shared" si="15"/>
        <v>2555</v>
      </c>
      <c r="M18" s="187">
        <f t="shared" si="15"/>
        <v>1391</v>
      </c>
      <c r="N18" s="187">
        <f t="shared" si="15"/>
        <v>4920</v>
      </c>
      <c r="O18" s="187">
        <f t="shared" si="15"/>
        <v>165</v>
      </c>
      <c r="P18" s="187">
        <f t="shared" si="15"/>
        <v>351</v>
      </c>
      <c r="Q18" s="187">
        <f t="shared" si="15"/>
        <v>332</v>
      </c>
      <c r="R18" s="187">
        <f t="shared" si="15"/>
        <v>319</v>
      </c>
      <c r="S18" s="187">
        <f t="shared" si="15"/>
        <v>1740</v>
      </c>
      <c r="T18" s="187">
        <f t="shared" si="15"/>
        <v>8742</v>
      </c>
      <c r="U18" s="187">
        <f t="shared" si="15"/>
        <v>8555</v>
      </c>
      <c r="V18" s="187">
        <f t="shared" si="15"/>
        <v>2009</v>
      </c>
      <c r="W18" s="187">
        <f t="shared" si="15"/>
        <v>1482</v>
      </c>
      <c r="X18" s="187">
        <f t="shared" si="15"/>
        <v>4588</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1740</v>
      </c>
      <c r="AZ18" s="187">
        <f>SUBTOTAL(9,AZ14:AZ17)</f>
        <v>8742</v>
      </c>
      <c r="BA18" s="187">
        <f>SUBTOTAL(9,BA14:BA17)</f>
        <v>8555</v>
      </c>
      <c r="BB18" s="187">
        <f>SUBTOTAL(9,BB14:BB17)</f>
        <v>2009</v>
      </c>
      <c r="BC18" s="187">
        <f>SUBTOTAL(9,BC14:BC17)</f>
        <v>1482</v>
      </c>
      <c r="BD18" s="208">
        <f>IF(ISNUMBER(BA18/AZ18),BA18/AZ18," - ")</f>
        <v>0.97860901395561661</v>
      </c>
      <c r="BE18" s="209">
        <f>IF(ISNUMBER(BB18/BA18),BB18/BA18, " - ")</f>
        <v>0.23483343074225599</v>
      </c>
      <c r="BF18" s="209">
        <f>IF(ISNUMBER(BC18/BA18),BC18/BA18, " - ")</f>
        <v>0.17323202805376972</v>
      </c>
      <c r="BG18" s="210">
        <f>IF(ISNUMBER((AY18+AZ18)/BA18),(AY18+AZ18)/BA18," - ")</f>
        <v>1.2252483927527762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4551</v>
      </c>
      <c r="J19" s="134">
        <f t="shared" si="18"/>
        <v>17440</v>
      </c>
      <c r="K19" s="134">
        <f t="shared" si="18"/>
        <v>16566</v>
      </c>
      <c r="L19" s="134">
        <f t="shared" si="18"/>
        <v>5556</v>
      </c>
      <c r="M19" s="134">
        <f t="shared" si="18"/>
        <v>3224</v>
      </c>
      <c r="N19" s="134">
        <f t="shared" si="18"/>
        <v>8717</v>
      </c>
      <c r="O19" s="134">
        <f t="shared" si="18"/>
        <v>4413</v>
      </c>
      <c r="P19" s="134">
        <f t="shared" si="18"/>
        <v>2952</v>
      </c>
      <c r="Q19" s="134">
        <f t="shared" si="18"/>
        <v>1511</v>
      </c>
      <c r="R19" s="134">
        <f t="shared" si="18"/>
        <v>9380</v>
      </c>
      <c r="S19" s="134">
        <f t="shared" si="18"/>
        <v>4809</v>
      </c>
      <c r="T19" s="134">
        <f t="shared" si="18"/>
        <v>16273</v>
      </c>
      <c r="U19" s="134">
        <f t="shared" si="18"/>
        <v>16452</v>
      </c>
      <c r="V19" s="134">
        <f t="shared" si="18"/>
        <v>4551</v>
      </c>
      <c r="W19" s="134">
        <f t="shared" si="18"/>
        <v>3423</v>
      </c>
      <c r="X19" s="134">
        <f t="shared" si="18"/>
        <v>8244</v>
      </c>
      <c r="Y19" s="134">
        <f t="shared" si="18"/>
        <v>105</v>
      </c>
      <c r="Z19" s="134">
        <f t="shared" si="18"/>
        <v>814</v>
      </c>
      <c r="AA19" s="134">
        <f t="shared" si="18"/>
        <v>828</v>
      </c>
      <c r="AB19" s="134">
        <f t="shared" si="18"/>
        <v>93</v>
      </c>
      <c r="AC19" s="134">
        <f t="shared" si="18"/>
        <v>0</v>
      </c>
      <c r="AD19" s="134">
        <f t="shared" si="18"/>
        <v>1</v>
      </c>
      <c r="AE19" s="134">
        <f t="shared" si="18"/>
        <v>1</v>
      </c>
      <c r="AF19" s="134">
        <f t="shared" si="18"/>
        <v>0</v>
      </c>
      <c r="AG19" s="134">
        <f t="shared" si="18"/>
        <v>96</v>
      </c>
      <c r="AH19" s="134">
        <f t="shared" si="18"/>
        <v>877</v>
      </c>
      <c r="AI19" s="134">
        <f t="shared" si="18"/>
        <v>868</v>
      </c>
      <c r="AJ19" s="134">
        <f t="shared" si="18"/>
        <v>105</v>
      </c>
      <c r="AK19" s="134">
        <f t="shared" si="18"/>
        <v>0</v>
      </c>
      <c r="AL19" s="134">
        <f t="shared" si="18"/>
        <v>3</v>
      </c>
      <c r="AM19" s="134">
        <f t="shared" si="18"/>
        <v>3</v>
      </c>
      <c r="AN19" s="213">
        <f t="shared" si="18"/>
        <v>0</v>
      </c>
      <c r="AO19" s="214">
        <v>10</v>
      </c>
      <c r="AP19" s="214">
        <v>10</v>
      </c>
      <c r="AQ19" s="214">
        <v>10</v>
      </c>
      <c r="AR19" s="214">
        <v>10</v>
      </c>
      <c r="AS19" s="156">
        <f t="shared" si="18"/>
        <v>0</v>
      </c>
      <c r="AT19" s="156">
        <f t="shared" si="18"/>
        <v>0</v>
      </c>
      <c r="AU19" s="214"/>
      <c r="AV19" s="215"/>
      <c r="AW19" s="214"/>
      <c r="AX19" s="215"/>
      <c r="AY19" s="133">
        <f>SUBTOTAL(9,AY9:AY18)</f>
        <v>4905</v>
      </c>
      <c r="AZ19" s="134">
        <f>SUBTOTAL(9,AZ9:AZ18)</f>
        <v>17150</v>
      </c>
      <c r="BA19" s="134">
        <f>SUBTOTAL(9,BA9:BA18)</f>
        <v>17320</v>
      </c>
      <c r="BB19" s="134">
        <f>SUBTOTAL(9,BB9:BB18)</f>
        <v>4656</v>
      </c>
      <c r="BC19" s="135">
        <f>SUBTOTAL(9,BC9:BC18)</f>
        <v>5146</v>
      </c>
      <c r="BD19" s="216">
        <f>IF(ISNUMBER(BA19/AZ19),BA19/AZ19," - ")</f>
        <v>1.0099125364431487</v>
      </c>
      <c r="BE19" s="213">
        <f>IF(ISNUMBER(BB19/BA19),BB19/BA19, " - ")</f>
        <v>0.26882217090069283</v>
      </c>
      <c r="BF19" s="213">
        <f>IF(ISNUMBER(BC19/BA19),BC19/BA19, " - ")</f>
        <v>0.29711316397228638</v>
      </c>
      <c r="BG19" s="135">
        <f>IF(ISNUMBER((AY19+AZ19)/BA19),(AY19+AZ19)/BA19," - ")</f>
        <v>1.2733833718244805</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YlAyxIUc9Gkcly2zEwZ/ie3PNwCpJeC3XmiRTRnipUnAq0Prb0Bcy13ALrMPko9acSLYhszBgvYLPA3foW5nQ==" saltValue="vKiEtH0QweKwMIRTcQwW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DDYqXtVV3SIZe0q8SJfcSX0q9JhpAAcyTW/fjW+Z+gSDvtSwhkQZxwEkj5O3CbLNSWd8RS7vo0ySESQt5LiDw==" saltValue="5D/jcjHHfNtNm5CuFxSR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DENIA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814</v>
      </c>
      <c r="O9" s="337"/>
      <c r="P9" s="337"/>
      <c r="Q9" s="229">
        <f>IF(ISNUMBER(Datos!P9),Datos!P9,0)</f>
        <v>2578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1118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93</v>
      </c>
      <c r="AI9" s="337" t="str">
        <f>IF(ISNUMBER(Datos!CD9),Datos!CD9,"-")</f>
        <v>-</v>
      </c>
      <c r="AJ9" s="337" t="str">
        <f>IF(ISNUMBER(Datos!EN9),Datos!EN9," - ")</f>
        <v xml:space="preserve"> - </v>
      </c>
      <c r="AK9" s="337"/>
      <c r="AL9" s="482"/>
      <c r="AM9" s="338">
        <f>IF(ISNUMBER(Datos!R9),Datos!R9," - ")</f>
        <v>9031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1783</v>
      </c>
      <c r="BD9" s="232">
        <f>IF(ISNUMBER(Datos!N9),Datos!N9," - ")</f>
        <v>3727</v>
      </c>
      <c r="BE9" s="232" t="str">
        <f>IF(ISNUMBER(Datos!BW9),Datos!BW9," - ")</f>
        <v xml:space="preserve"> - </v>
      </c>
      <c r="BF9" s="231" t="str">
        <f>IF(ISNUMBER(Datos!BX9),Datos!BX9," - ")</f>
        <v xml:space="preserve"> - </v>
      </c>
      <c r="BG9" s="246">
        <f>IF(ISNUMBER(IF(J_V="SI",Datos!K9/Datos!J9,(Datos!K9+Datos!AA9)/(Datos!J9+Datos!Z9))),IF(J_V="SI",Datos!K9/Datos!J9,(Datos!K9+Datos!AA9)/(Datos!J9+Datos!Z9))," - ")</f>
        <v>0.95169811320754716</v>
      </c>
      <c r="BH9" s="263">
        <f>IF(ISNUMBER(((IF(J_V="SI",Datos!L9/Datos!K9,(Datos!L9+Datos!AB9)/(Datos!K9+Datos!AA9)))*11)/factor_trimestre),((IF(J_V="SI",Datos!L9/Datos!K9,(Datos!L9+Datos!AB9)/(Datos!K9+Datos!AA9)))*11)/factor_trimestre," - ")</f>
        <v>3.7634530418035572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0.19284110421344605</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97</v>
      </c>
      <c r="G10" s="336">
        <f>IF(ISNUMBER(Datos!I10),Datos!I10," - ")</f>
        <v>97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161</v>
      </c>
      <c r="AC10" s="229">
        <f>IF(ISNUMBER(Datos!Q10),Datos!Q10," - ")</f>
        <v>61</v>
      </c>
      <c r="AD10" s="337"/>
      <c r="AE10" s="487"/>
      <c r="AF10" s="335">
        <f>IF(ISNUMBER(Datos!L10),Datos!L10,"-")</f>
        <v>74</v>
      </c>
      <c r="AG10" s="337"/>
      <c r="AH10" s="337"/>
      <c r="AI10" s="337"/>
      <c r="AJ10" s="337"/>
      <c r="AK10" s="337"/>
      <c r="AL10" s="482"/>
      <c r="AM10" s="338">
        <f>IF(ISNUMBER(Datos!R10),Datos!R10," - ")</f>
        <v>30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50</v>
      </c>
      <c r="BD10" s="232">
        <f>IF(ISNUMBER(Datos!N10),Datos!N10," - ")</f>
        <v>70</v>
      </c>
      <c r="BE10" s="232" t="str">
        <f>IF(ISNUMBER(Datos!BW10),Datos!BW10," - ")</f>
        <v xml:space="preserve"> - </v>
      </c>
      <c r="BF10" s="231" t="str">
        <f>IF(ISNUMBER(Datos!BX10),Datos!BX10," - ")</f>
        <v xml:space="preserve"> - </v>
      </c>
      <c r="BG10" s="246">
        <f>IF(ISNUMBER(Datos!K10/Datos!J10),Datos!K10/Datos!J10," - ")</f>
        <v>1.1666666666666667</v>
      </c>
      <c r="BH10" s="263">
        <f>IF(ISNUMBER(((Datos!L10/Datos!K10)*11)/factor_trimestre),((Datos!L10/Datos!K10)*11)/factor_trimestre," - ")</f>
        <v>5.0559006211180124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-0.55882352941176472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97</v>
      </c>
      <c r="G13" s="901">
        <f t="shared" si="0"/>
        <v>97</v>
      </c>
      <c r="H13" s="902">
        <f t="shared" si="0"/>
        <v>0</v>
      </c>
      <c r="I13" s="901">
        <f t="shared" si="0"/>
        <v>0</v>
      </c>
      <c r="J13" s="870">
        <f t="shared" si="0"/>
        <v>0</v>
      </c>
      <c r="K13" s="870">
        <f t="shared" si="0"/>
        <v>0</v>
      </c>
      <c r="L13" s="902">
        <f t="shared" si="0"/>
        <v>0</v>
      </c>
      <c r="M13" s="902">
        <f t="shared" si="0"/>
        <v>0</v>
      </c>
      <c r="N13" s="902">
        <f t="shared" si="0"/>
        <v>814</v>
      </c>
      <c r="O13" s="903">
        <f t="shared" si="0"/>
        <v>0</v>
      </c>
      <c r="P13" s="903">
        <f t="shared" si="0"/>
        <v>0</v>
      </c>
      <c r="Q13" s="902">
        <f t="shared" si="0"/>
        <v>2601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161</v>
      </c>
      <c r="AC13" s="902">
        <f t="shared" si="1"/>
        <v>1179</v>
      </c>
      <c r="AD13" s="902">
        <f t="shared" si="1"/>
        <v>0</v>
      </c>
      <c r="AE13" s="902">
        <f t="shared" si="1"/>
        <v>0</v>
      </c>
      <c r="AF13" s="902">
        <f t="shared" si="1"/>
        <v>74</v>
      </c>
      <c r="AG13" s="902">
        <f t="shared" si="1"/>
        <v>0</v>
      </c>
      <c r="AH13" s="902">
        <f t="shared" si="1"/>
        <v>93</v>
      </c>
      <c r="AI13" s="902">
        <f t="shared" si="1"/>
        <v>0</v>
      </c>
      <c r="AJ13" s="902">
        <f t="shared" si="1"/>
        <v>0</v>
      </c>
      <c r="AK13" s="902">
        <f t="shared" si="1"/>
        <v>0</v>
      </c>
      <c r="AL13" s="902">
        <f t="shared" si="1"/>
        <v>0</v>
      </c>
      <c r="AM13" s="902">
        <f t="shared" si="1"/>
        <v>9061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1833</v>
      </c>
      <c r="BD13" s="902">
        <f t="shared" si="1"/>
        <v>3797</v>
      </c>
      <c r="BE13" s="902">
        <f t="shared" si="1"/>
        <v>0</v>
      </c>
      <c r="BF13" s="902">
        <f t="shared" si="1"/>
        <v>0</v>
      </c>
      <c r="BG13" s="902">
        <f>IF(ISNUMBER(Datos!K13/Datos!J13),Datos!K13/Datos!J13," - ")</f>
        <v>0.94894755204093495</v>
      </c>
      <c r="BH13" s="906">
        <f>IF(ISNUMBER(((Datos!L13/Datos!K13)*11)/factor_trimestre),((Datos!L13/Datos!K13)*11)/factor_trimestre," - ")</f>
        <v>4.0454656862745102</v>
      </c>
      <c r="BI13" s="902">
        <f>IF(ISNUMBER('Resol  Asuntos'!D13/NºAsuntos!G13),'Resol  Asuntos'!D13/NºAsuntos!G13," - ")</f>
        <v>0.20393858477970628</v>
      </c>
      <c r="BJ13" s="902" t="str">
        <f>IF(ISNUMBER(Datos!CI13/Datos!CJ13),Datos!CI13/Datos!CJ13," - ")</f>
        <v xml:space="preserve"> - </v>
      </c>
      <c r="BK13" s="902">
        <f>SUBTOTAL(9,BK8:BK12)</f>
        <v>0</v>
      </c>
      <c r="BL13" s="902">
        <f>IF(ISNUMBER((I13-AB13+L13)/(F13)),(I13-AB13+L13)/(F13)," - ")</f>
        <v>-1.6597938144329898</v>
      </c>
      <c r="BM13" s="907">
        <f>SUBTOTAL(9,BM9:BM12)</f>
        <v>-0.36598242519831869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1921</v>
      </c>
      <c r="G15" s="601">
        <f>IF(ISNUMBER(IF(D_I="SI",Datos!I15,Datos!I15+Datos!AC15)),IF(D_I="SI",Datos!I15,Datos!I15+Datos!AC15)," - ")</f>
        <v>1811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308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7154</v>
      </c>
      <c r="AC15" s="229">
        <f>IF(ISNUMBER(Datos!Q15),Datos!Q15," - ")</f>
        <v>285</v>
      </c>
      <c r="AD15" s="337"/>
      <c r="AE15" s="487"/>
      <c r="AF15" s="599">
        <f>IF(ISNUMBER(IF(D_I="SI",Datos!L15,Datos!L15+Datos!AF15)),IF(D_I="SI",Datos!L15,Datos!L15+Datos!AF15)," - ")</f>
        <v>2376</v>
      </c>
      <c r="AG15" s="337"/>
      <c r="AH15" s="337"/>
      <c r="AI15" s="337"/>
      <c r="AJ15" s="337"/>
      <c r="AK15" s="337"/>
      <c r="AL15" s="482"/>
      <c r="AM15" s="338">
        <f>IF(ISNUMBER(Datos!R15),Datos!R15," - ")</f>
        <v>297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1143</v>
      </c>
      <c r="BD15" s="232">
        <f>IF(ISNUMBER(Datos!N15),Datos!N15," - ")</f>
        <v>4258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0.94020239190432386</v>
      </c>
      <c r="BH15" s="263">
        <f>IF(ISNUMBER(((IF(D_I="SI",Datos!L15/Datos!K15,(Datos!L15+Datos!AF15)/(Datos!K15+Datos!AE15)))*11)/factor_trimestre),((IF(D_I="SI",Datos!L15/Datos!K15,(Datos!L15+Datos!AF15)/(Datos!K15+Datos!AE15)))*11)/factor_trimestre," - ")</f>
        <v>3.653340788370143</v>
      </c>
      <c r="BI15" s="246">
        <f>IF(ISNUMBER('Resol  Asuntos'!D15/NºAsuntos!G15),'Resol  Asuntos'!D15/NºAsuntos!G15," - ")</f>
        <v>0.15977075761811574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14</v>
      </c>
      <c r="G16" s="601">
        <f>IF(ISNUMBER(IF(D_I="SI",Datos!I16,Datos!I16+Datos!AC16)),IF(D_I="SI",Datos!I16,Datos!I16+Datos!AC16)," - ")</f>
        <v>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2</v>
      </c>
      <c r="AD16" s="337"/>
      <c r="AE16" s="487"/>
      <c r="AF16" s="599">
        <f>IF(ISNUMBER(IF(D_I="SI",Datos!L16,Datos!L16+Datos!AF16)),IF(D_I="SI",Datos!L16,Datos!L16+Datos!AF16)," - ")</f>
        <v>14</v>
      </c>
      <c r="AG16" s="337"/>
      <c r="AH16" s="337"/>
      <c r="AI16" s="337"/>
      <c r="AJ16" s="337"/>
      <c r="AK16" s="337"/>
      <c r="AL16" s="482"/>
      <c r="AM16" s="338">
        <f>IF(ISNUMBER(Datos!R16),Datos!R16," - ")</f>
        <v>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1252</v>
      </c>
      <c r="AC17" s="229">
        <f>IF(ISNUMBER(Datos!Q17),Datos!Q17," - ")</f>
        <v>45</v>
      </c>
      <c r="AD17" s="337"/>
      <c r="AE17" s="487"/>
      <c r="AF17" s="335">
        <f>IF(ISNUMBER(Datos!L17),Datos!L17,"-")</f>
        <v>165</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248</v>
      </c>
      <c r="BD17" s="232">
        <f>IF(ISNUMBER(Datos!N17),Datos!N17," - ")</f>
        <v>662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1.0162337662337662</v>
      </c>
      <c r="BH17" s="263">
        <f>IF(ISNUMBER(((IF(D_I="SI",Datos!L17/Datos!K17,(Datos!L17+Datos!AF17)/(Datos!K17+Datos!AE17)))*11)/factor_trimestre),((IF(D_I="SI",Datos!L17/Datos!K17,(Datos!L17+Datos!AF17)/(Datos!K17+Datos!AE17)))*11)/factor_trimestre," - ")</f>
        <v>1.4496805111821085</v>
      </c>
      <c r="BI17" s="246">
        <f>IF(ISNUMBER('Resol  Asuntos'!D17/NºAsuntos!G17),'Resol  Asuntos'!D17/NºAsuntos!G17," - ")</f>
        <v>0.19808306709265175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1935</v>
      </c>
      <c r="G18" s="901">
        <f>SUBTOTAL(9,G15:G17)</f>
        <v>2009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8406</v>
      </c>
      <c r="AC18" s="902">
        <f t="shared" si="4"/>
        <v>332</v>
      </c>
      <c r="AD18" s="902">
        <f t="shared" si="4"/>
        <v>0</v>
      </c>
      <c r="AE18" s="902">
        <f t="shared" si="4"/>
        <v>0</v>
      </c>
      <c r="AF18" s="902">
        <f t="shared" si="4"/>
        <v>2555</v>
      </c>
      <c r="AG18" s="902">
        <f t="shared" si="4"/>
        <v>0</v>
      </c>
      <c r="AH18" s="902">
        <f t="shared" si="4"/>
        <v>0</v>
      </c>
      <c r="AI18" s="902">
        <f t="shared" si="4"/>
        <v>0</v>
      </c>
      <c r="AJ18" s="902">
        <f t="shared" si="4"/>
        <v>0</v>
      </c>
      <c r="AK18" s="902">
        <f t="shared" si="4"/>
        <v>0</v>
      </c>
      <c r="AL18" s="902">
        <f t="shared" si="4"/>
        <v>0</v>
      </c>
      <c r="AM18" s="902">
        <f t="shared" si="4"/>
        <v>319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1391</v>
      </c>
      <c r="BD18" s="902">
        <f t="shared" si="4"/>
        <v>4920</v>
      </c>
      <c r="BE18" s="902">
        <f t="shared" si="4"/>
        <v>0</v>
      </c>
      <c r="BF18" s="902">
        <f t="shared" si="4"/>
        <v>0</v>
      </c>
      <c r="BG18" s="902">
        <f>IF(ISNUMBER(Datos!K18/Datos!J18),Datos!K18/Datos!J18," - ")</f>
        <v>0.95079742110620968</v>
      </c>
      <c r="BH18" s="906">
        <f>IF(ISNUMBER(((Datos!L18/Datos!K18)*11)/factor_trimestre),((Datos!L18/Datos!K18)*11)/factor_trimestre," - ")</f>
        <v>3.3434451582203191</v>
      </c>
      <c r="BI18" s="902">
        <f>SUBTOTAL(9,BI15:BI17)</f>
        <v>0.35785382471076749</v>
      </c>
      <c r="BJ18" s="902">
        <f>SUBTOTAL(9,BJ15:BJ17)</f>
        <v>0</v>
      </c>
      <c r="BK18" s="902">
        <f>SUBTOTAL(9,BK15:BK17)</f>
        <v>0</v>
      </c>
      <c r="BL18" s="902">
        <f>IF(ISNUMBER((I18-AB18+L18)/(F18)),(I18-AB18+L18)/(F18)," - ")</f>
        <v>-4.344186046511628</v>
      </c>
      <c r="BM18" s="908">
        <f>IF(ISNUMBER((Datos!P18-Datos!Q18)/(Datos!R18-Datos!P18+Datos!Q18)),(Datos!P18-Datos!Q18)/(Datos!R18-Datos!P18+Datos!Q18)," - ")</f>
        <v>6.3333333333333339E-2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2032</v>
      </c>
      <c r="G19" s="823">
        <f t="shared" si="6"/>
        <v>2106</v>
      </c>
      <c r="H19" s="825">
        <f t="shared" si="6"/>
        <v>0</v>
      </c>
      <c r="I19" s="823">
        <f t="shared" si="6"/>
        <v>0</v>
      </c>
      <c r="J19" s="825">
        <f t="shared" si="6"/>
        <v>0</v>
      </c>
      <c r="K19" s="825">
        <f t="shared" si="6"/>
        <v>0</v>
      </c>
      <c r="L19" s="884">
        <f t="shared" si="6"/>
        <v>0</v>
      </c>
      <c r="M19" s="884">
        <f t="shared" si="6"/>
        <v>0</v>
      </c>
      <c r="N19" s="884">
        <f t="shared" si="6"/>
        <v>814</v>
      </c>
      <c r="O19" s="884">
        <f t="shared" si="6"/>
        <v>0</v>
      </c>
      <c r="P19" s="884">
        <f t="shared" si="6"/>
        <v>0</v>
      </c>
      <c r="Q19" s="825">
        <f t="shared" si="6"/>
        <v>2952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8567</v>
      </c>
      <c r="AC19" s="824">
        <f t="shared" si="7"/>
        <v>1511</v>
      </c>
      <c r="AD19" s="824">
        <f t="shared" si="7"/>
        <v>0</v>
      </c>
      <c r="AE19" s="824">
        <f t="shared" si="7"/>
        <v>0</v>
      </c>
      <c r="AF19" s="831">
        <f t="shared" si="7"/>
        <v>2629</v>
      </c>
      <c r="AG19" s="831">
        <f t="shared" si="7"/>
        <v>0</v>
      </c>
      <c r="AH19" s="831">
        <f t="shared" si="7"/>
        <v>93</v>
      </c>
      <c r="AI19" s="831">
        <f t="shared" si="7"/>
        <v>0</v>
      </c>
      <c r="AJ19" s="824">
        <f t="shared" si="7"/>
        <v>0</v>
      </c>
      <c r="AK19" s="831">
        <f t="shared" si="7"/>
        <v>0</v>
      </c>
      <c r="AL19" s="831">
        <f t="shared" si="7"/>
        <v>0</v>
      </c>
      <c r="AM19" s="831">
        <f t="shared" si="7"/>
        <v>9380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3224</v>
      </c>
      <c r="BD19" s="823">
        <f t="shared" si="7"/>
        <v>8717</v>
      </c>
      <c r="BE19" s="823">
        <f t="shared" si="7"/>
        <v>0</v>
      </c>
      <c r="BF19" s="833">
        <f t="shared" si="7"/>
        <v>0</v>
      </c>
      <c r="BG19" s="918">
        <f>IF(ISNUMBER(Datos!K19/Datos!J19),Datos!K19/Datos!J19," - ")</f>
        <v>0.94988532110091739</v>
      </c>
      <c r="BH19" s="918">
        <f>IF(ISNUMBER(((Datos!L19/Datos!K19)*11)/factor_trimestre),((Datos!L19/Datos!K19)*11)/factor_trimestre," - ")</f>
        <v>3.689243027888446</v>
      </c>
      <c r="BI19" s="816">
        <f>IF(ISNUMBER(Datos!J19/Datos!I19),Datos!J19/Datos!I19," - ")</f>
        <v>3.832124807734564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-4.2160433070866139</v>
      </c>
      <c r="BM19" s="892">
        <f>IF(ISNUMBER((Datos!P19-Datos!Q19+R19)/(Datos!R19-Datos!P19+Datos!Q19-R19)),(Datos!P19-Datos!Q19+R19)/(Datos!R19-Datos!P19+Datos!Q19-R19)," - ")</f>
        <v>0.18150900617206198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2.6977356760397742</v>
      </c>
      <c r="F21" s="554">
        <f>IF(ISNUMBER(STDEV(F8:F18)),STDEV(F8:F18),"-")</f>
        <v>1018.6094442915793</v>
      </c>
      <c r="G21" s="555">
        <f>IF(ISNUMBER(STDEV(G8:G18)),STDEV(G8:G18),"-")</f>
        <v>939.27376200977744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3860.8523756635227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806.71999036663453</v>
      </c>
      <c r="BD21" s="554"/>
      <c r="BE21" s="554">
        <f>IF(ISNUMBER(STDEV(BE8:BE18)),STDEV(BE8:BE18),"-")</f>
        <v>0</v>
      </c>
      <c r="BF21" s="559">
        <f>IF(ISNUMBER(STDEV(BF8:BF18)),STDEV(BF8:BF18),"-")</f>
        <v>0</v>
      </c>
      <c r="BG21" s="778">
        <f>IF(ISNUMBER(STDEV(BG8:BG18)),STDEV(BG8:BG18),"-")</f>
        <v>8.8169609561965998E-2</v>
      </c>
      <c r="BH21" s="779">
        <f>IF(ISNUMBER(STDEV(BH8:BH18)),STDEV(BH8:BH18),"-")</f>
        <v>1.1851961927112566</v>
      </c>
      <c r="BI21" s="252">
        <f>IF(ISNUMBER(STDEV(BI8:BI18)),STDEV(BI8:BI18),"-")</f>
        <v>8.7514958075066138E-2</v>
      </c>
      <c r="BJ21" s="233" t="str">
        <f>IF(ISNUMBER(BL21/BM21),BL21/BM21," - ")</f>
        <v xml:space="preserve"> - </v>
      </c>
      <c r="BK21" s="578"/>
      <c r="BL21" s="562">
        <f>IF(ISNUMBER(STDEV(BL8:BL18)),STDEV(BL8:BL18),"-")</f>
        <v>1.8981519506672964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8YpMGT7ggDEYNKyfBAsLy15EfMcDT3e0kABHA0jAoMvBeCMOgDBQuMMTErQTfPi9Z7KPwWTyOgDizNr9l+29Q==" saltValue="rZVF3/tG/M565yXOy6aF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DENIA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2578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1118</v>
      </c>
      <c r="AA9" s="335" t="str">
        <f>IF(ISNUMBER(IF(J_V="SI",Datos!L9,Datos!L9+Datos!AB9)-IF(Monitorios="SI",Datos!CD9,0)),
                          IF(J_V="SI",Datos!L9,Datos!L9+Datos!AB9)-IF(Monitorios="SI",Datos!CD9,0),
                          " - ")</f>
        <v xml:space="preserve"> - </v>
      </c>
      <c r="AB9" s="337"/>
      <c r="AC9" s="337"/>
      <c r="AD9" s="487"/>
      <c r="AE9" s="487">
        <f>IF(ISNUMBER(Datos!R9),Datos!R9," - ")</f>
        <v>9031</v>
      </c>
      <c r="AF9" s="232" t="str">
        <f>IF(ISNUMBER(Datos!BV9),Datos!BV9," - ")</f>
        <v xml:space="preserve"> - </v>
      </c>
      <c r="AG9" s="228" t="str">
        <f>IF(ISNUMBER(Datos!DV9),Datos!DV9," - ")</f>
        <v xml:space="preserve"> - </v>
      </c>
      <c r="AH9" s="301"/>
      <c r="AI9" s="230"/>
      <c r="AJ9" s="228">
        <f>IF(ISNUMBER(Datos!M9),Datos!M9," - ")</f>
        <v>1783</v>
      </c>
      <c r="AK9" s="232">
        <f>IF(ISNUMBER(Datos!N9),Datos!N9," - ")</f>
        <v>3727</v>
      </c>
      <c r="AL9" s="232" t="str">
        <f>IF(ISNUMBER(Datos!BW9),Datos!BW9," - ")</f>
        <v xml:space="preserve"> - </v>
      </c>
      <c r="AM9" s="231" t="str">
        <f>IF(ISNUMBER(Datos!BX9),Datos!BX9," - ")</f>
        <v xml:space="preserve"> - </v>
      </c>
      <c r="AN9" s="246"/>
      <c r="AO9" s="263">
        <f>IF(ISNUMBER(((NºAsuntos!I9/NºAsuntos!G9)*11)/factor_trimestre),((NºAsuntos!I9/NºAsuntos!G9)*11)/factor_trimestre," - ")</f>
        <v>3.7634530418035572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0.19284110421344605</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97</v>
      </c>
      <c r="G10" s="228">
        <f>IF(ISNUMBER(Datos!I10),Datos!I10," - ")</f>
        <v>97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161</v>
      </c>
      <c r="Z10" s="622">
        <f>IF(ISNUMBER(Datos!Q10),Datos!Q10," - ")</f>
        <v>61</v>
      </c>
      <c r="AA10" s="335">
        <f>IF(ISNUMBER(Datos!L10),Datos!L10,"-")</f>
        <v>74</v>
      </c>
      <c r="AB10" s="337"/>
      <c r="AC10" s="337"/>
      <c r="AD10" s="487"/>
      <c r="AE10" s="487">
        <f>IF(ISNUMBER(Datos!R10),Datos!R10," - ")</f>
        <v>30</v>
      </c>
      <c r="AF10" s="232" t="str">
        <f>IF(ISNUMBER(Datos!BV10),Datos!BV10," - ")</f>
        <v xml:space="preserve"> - </v>
      </c>
      <c r="AG10" s="228" t="str">
        <f>IF(ISNUMBER(Datos!DV10),Datos!DV10," - ")</f>
        <v xml:space="preserve"> - </v>
      </c>
      <c r="AH10" s="301"/>
      <c r="AI10" s="230"/>
      <c r="AJ10" s="228">
        <f>IF(ISNUMBER(Datos!M10),Datos!M10," - ")</f>
        <v>50</v>
      </c>
      <c r="AK10" s="232">
        <f>IF(ISNUMBER(Datos!N10),Datos!N10," - ")</f>
        <v>70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5.0559006211180124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-0.55882352941176472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97</v>
      </c>
      <c r="G13" s="901">
        <f>SUBTOTAL(9,G8:G12)</f>
        <v>97</v>
      </c>
      <c r="H13" s="911"/>
      <c r="I13" s="901">
        <f t="shared" ref="I13:N13" si="0">SUBTOTAL(9,I8:I12)</f>
        <v>0</v>
      </c>
      <c r="J13" s="870">
        <f t="shared" si="0"/>
        <v>0</v>
      </c>
      <c r="K13" s="911">
        <f t="shared" si="0"/>
        <v>0</v>
      </c>
      <c r="L13" s="911">
        <f t="shared" si="0"/>
        <v>0</v>
      </c>
      <c r="M13" s="911">
        <f t="shared" si="0"/>
        <v>0</v>
      </c>
      <c r="N13" s="911">
        <f t="shared" si="0"/>
        <v>2601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161</v>
      </c>
      <c r="Z13" s="910">
        <f t="shared" si="2"/>
        <v>1179</v>
      </c>
      <c r="AA13" s="903">
        <f t="shared" si="2"/>
        <v>74</v>
      </c>
      <c r="AB13" s="903">
        <f t="shared" si="2"/>
        <v>0</v>
      </c>
      <c r="AC13" s="903">
        <f t="shared" si="2"/>
        <v>0</v>
      </c>
      <c r="AD13" s="903">
        <f t="shared" si="2"/>
        <v>0</v>
      </c>
      <c r="AE13" s="903">
        <f t="shared" si="2"/>
        <v>9061</v>
      </c>
      <c r="AF13" s="911">
        <f t="shared" si="2"/>
        <v>0</v>
      </c>
      <c r="AG13" s="911">
        <f t="shared" si="2"/>
        <v>0</v>
      </c>
      <c r="AH13" s="911">
        <f t="shared" si="2"/>
        <v>0</v>
      </c>
      <c r="AI13" s="911">
        <f t="shared" si="2"/>
        <v>0</v>
      </c>
      <c r="AJ13" s="911">
        <f t="shared" si="2"/>
        <v>1833</v>
      </c>
      <c r="AK13" s="911">
        <f t="shared" si="2"/>
        <v>3797</v>
      </c>
      <c r="AL13" s="911">
        <f t="shared" si="2"/>
        <v>0</v>
      </c>
      <c r="AM13" s="911">
        <f t="shared" si="2"/>
        <v>0</v>
      </c>
      <c r="AN13" s="911">
        <f t="shared" si="2"/>
        <v>0</v>
      </c>
      <c r="AO13" s="907">
        <f>IF(ISNUMBER(((NºAsuntos!I13/NºAsuntos!G13)*11)/factor_trimestre),((NºAsuntos!I13/NºAsuntos!G13)*11)/factor_trimestre," - ")</f>
        <v>3.7866043613707161</v>
      </c>
      <c r="AP13" s="913" t="str">
        <f>IF(ISNUMBER(Datos!CI13/Datos!CJ13),Datos!CI13/Datos!CJ13," - ")</f>
        <v xml:space="preserve"> - </v>
      </c>
      <c r="AQ13" s="931">
        <f t="shared" ref="AQ13:AV13" si="3">SUBTOTAL(9,AQ9:AQ12)</f>
        <v>0</v>
      </c>
      <c r="AR13" s="931">
        <f t="shared" si="3"/>
        <v>-0.36598242519831869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1921</v>
      </c>
      <c r="G15" s="228">
        <f>IF(ISNUMBER(IF(D_I="SI",Datos!I15,Datos!I15+Datos!AC15)),IF(D_I="SI",Datos!I15,Datos!I15+Datos!AC15)," - ")</f>
        <v>1811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308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7154</v>
      </c>
      <c r="Z15" s="622">
        <f>IF(ISNUMBER(Datos!Q15),Datos!Q15," - ")</f>
        <v>285</v>
      </c>
      <c r="AA15" s="335">
        <f>IF(ISNUMBER(IF(D_I="SI",Datos!L15,Datos!L15+Datos!AF15)),IF(D_I="SI",Datos!L15,Datos!L15+Datos!AF15)," - ")</f>
        <v>2376</v>
      </c>
      <c r="AB15" s="337"/>
      <c r="AC15" s="337"/>
      <c r="AD15" s="487"/>
      <c r="AE15" s="487">
        <f>IF(ISNUMBER(Datos!R15),Datos!R15," - ")</f>
        <v>297</v>
      </c>
      <c r="AF15" s="232" t="str">
        <f>IF(ISNUMBER(Datos!BV15),Datos!BV15," - ")</f>
        <v xml:space="preserve"> - </v>
      </c>
      <c r="AG15" s="228"/>
      <c r="AH15" s="301"/>
      <c r="AI15" s="230"/>
      <c r="AJ15" s="228">
        <f>IF(ISNUMBER(Datos!M15),Datos!M15," - ")</f>
        <v>1143</v>
      </c>
      <c r="AK15" s="232">
        <f>IF(ISNUMBER(Datos!N15),Datos!N15," - ")</f>
        <v>4258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3.653340788370143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14</v>
      </c>
      <c r="G16" s="228">
        <f>IF(ISNUMBER(IF(D_I="SI",Datos!I16,Datos!I16+Datos!AC16)),IF(D_I="SI",Datos!I16,Datos!I16+Datos!AC16)," - ")</f>
        <v>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2</v>
      </c>
      <c r="AA16" s="335">
        <f>IF(ISNUMBER(IF(D_I="SI",Datos!L16,Datos!L16+Datos!AF16)),IF(D_I="SI",Datos!L16,Datos!L16+Datos!AF16)," - ")</f>
        <v>14</v>
      </c>
      <c r="AB16" s="337"/>
      <c r="AC16" s="337"/>
      <c r="AD16" s="487"/>
      <c r="AE16" s="487">
        <f>IF(ISNUMBER(Datos!R16),Datos!R16," - ")</f>
        <v>6</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1252</v>
      </c>
      <c r="Z17" s="622">
        <f>IF(ISNUMBER(Datos!Q17),Datos!Q17," - ")</f>
        <v>45</v>
      </c>
      <c r="AA17" s="335">
        <f>IF(ISNUMBER(Datos!L17),Datos!L17,"-")</f>
        <v>165</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248</v>
      </c>
      <c r="AK17" s="232">
        <f>IF(ISNUMBER(Datos!N17),Datos!N17," - ")</f>
        <v>662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1.4496805111821085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1935</v>
      </c>
      <c r="G18" s="901">
        <f>SUBTOTAL(9,G15:G17)</f>
        <v>2009</v>
      </c>
      <c r="H18" s="935">
        <f>SUBTOTAL(9,H15:H17)</f>
        <v>0</v>
      </c>
      <c r="I18" s="914">
        <f>SUBTOTAL(9,I15:I17)</f>
        <v>0</v>
      </c>
      <c r="J18" s="870">
        <f>SUBTOTAL(9,J14:J17)</f>
        <v>0</v>
      </c>
      <c r="K18" s="935">
        <f t="shared" ref="K18:S18" si="4">SUBTOTAL(9,K15:K17)</f>
        <v>0</v>
      </c>
      <c r="L18" s="935">
        <f t="shared" si="4"/>
        <v>0</v>
      </c>
      <c r="M18" s="935">
        <f t="shared" si="4"/>
        <v>0</v>
      </c>
      <c r="N18" s="935">
        <f t="shared" si="4"/>
        <v>351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8406</v>
      </c>
      <c r="Z18" s="935">
        <f t="shared" si="5"/>
        <v>332</v>
      </c>
      <c r="AA18" s="935">
        <f t="shared" si="5"/>
        <v>2555</v>
      </c>
      <c r="AB18" s="935">
        <f t="shared" si="5"/>
        <v>0</v>
      </c>
      <c r="AC18" s="935">
        <f t="shared" si="5"/>
        <v>0</v>
      </c>
      <c r="AD18" s="935">
        <f t="shared" si="5"/>
        <v>0</v>
      </c>
      <c r="AE18" s="935">
        <f t="shared" si="5"/>
        <v>319</v>
      </c>
      <c r="AF18" s="935">
        <f t="shared" si="5"/>
        <v>0</v>
      </c>
      <c r="AG18" s="935">
        <f t="shared" si="5"/>
        <v>0</v>
      </c>
      <c r="AH18" s="935">
        <f t="shared" si="5"/>
        <v>0</v>
      </c>
      <c r="AI18" s="935">
        <f t="shared" si="5"/>
        <v>0</v>
      </c>
      <c r="AJ18" s="935">
        <f t="shared" si="5"/>
        <v>1391</v>
      </c>
      <c r="AK18" s="935">
        <f t="shared" si="5"/>
        <v>4920</v>
      </c>
      <c r="AL18" s="935">
        <f t="shared" si="5"/>
        <v>0</v>
      </c>
      <c r="AM18" s="935">
        <f t="shared" si="5"/>
        <v>0</v>
      </c>
      <c r="AN18" s="935">
        <f t="shared" si="5"/>
        <v>0</v>
      </c>
      <c r="AO18" s="937">
        <f>IF(ISNUMBER(((NºAsuntos!I18/NºAsuntos!G18)*11)/factor_trimestre),((NºAsuntos!I18/NºAsuntos!G18)*11)/factor_trimestre," - ")</f>
        <v>3.3434451582203191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2032</v>
      </c>
      <c r="G19" s="823">
        <f t="shared" si="7"/>
        <v>2106</v>
      </c>
      <c r="H19" s="824">
        <f t="shared" si="7"/>
        <v>0</v>
      </c>
      <c r="I19" s="823">
        <f t="shared" si="7"/>
        <v>0</v>
      </c>
      <c r="J19" s="825">
        <f t="shared" si="7"/>
        <v>0</v>
      </c>
      <c r="K19" s="823">
        <f t="shared" si="7"/>
        <v>0</v>
      </c>
      <c r="L19" s="826">
        <f t="shared" si="7"/>
        <v>0</v>
      </c>
      <c r="M19" s="823">
        <f t="shared" si="7"/>
        <v>0</v>
      </c>
      <c r="N19" s="824">
        <f t="shared" si="7"/>
        <v>2952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8567</v>
      </c>
      <c r="Z19" s="830">
        <f t="shared" si="8"/>
        <v>1511</v>
      </c>
      <c r="AA19" s="831">
        <f t="shared" si="8"/>
        <v>2629</v>
      </c>
      <c r="AB19" s="831">
        <f t="shared" si="8"/>
        <v>0</v>
      </c>
      <c r="AC19" s="831">
        <f t="shared" si="8"/>
        <v>0</v>
      </c>
      <c r="AD19" s="832">
        <f t="shared" si="8"/>
        <v>0</v>
      </c>
      <c r="AE19" s="832">
        <f t="shared" si="8"/>
        <v>9380</v>
      </c>
      <c r="AF19" s="833">
        <f t="shared" si="8"/>
        <v>0</v>
      </c>
      <c r="AG19" s="834">
        <f t="shared" si="8"/>
        <v>0</v>
      </c>
      <c r="AH19" s="835">
        <f t="shared" si="8"/>
        <v>0</v>
      </c>
      <c r="AI19" s="833">
        <f t="shared" si="8"/>
        <v>0</v>
      </c>
      <c r="AJ19" s="823">
        <f t="shared" si="8"/>
        <v>3224</v>
      </c>
      <c r="AK19" s="823">
        <f t="shared" si="8"/>
        <v>8717</v>
      </c>
      <c r="AL19" s="823">
        <f t="shared" si="8"/>
        <v>0</v>
      </c>
      <c r="AM19" s="836">
        <f t="shared" si="8"/>
        <v>0</v>
      </c>
      <c r="AN19" s="826">
        <f>IF(ISNUMBER(Datos!K19/Datos!J19),Datos!K19/Datos!J19," - ")</f>
        <v>0.94988532110091739</v>
      </c>
      <c r="AO19" s="826">
        <f>IF(ISNUMBER(FIND("06",Criterios!A8,1)),(IF(ISNUMBER(((Datos!R19/Datos!Q19)*11)/factor_trimestre),((Datos!R19/Datos!Q19)*11)/factor_trimestre," - ")),(IF(ISNUMBER(((Datos!L19/Datos!K19)*11)/factor_trimestre),((Datos!L19/Datos!K19)*11)/factor_trimestre," - ")))</f>
        <v>3.689243027888446</v>
      </c>
      <c r="AP19" s="837" t="str">
        <f>IF(ISNUMBER(Datos!CI19/Datos!CJ19),Datos!CI19/Datos!CJ19," - ")</f>
        <v xml:space="preserve"> - </v>
      </c>
      <c r="AQ19" s="837">
        <f>IF(OR(ISNUMBER(FIND("01",Criterios!A8,1)),ISNUMBER(FIND("02",Criterios!A8,1)),ISNUMBER(FIND("03",Criterios!A8,1)),ISNUMBER(FIND("04",Criterios!A8,1))),(J19-Y19+K19)/(F19-K19),(I19-Y19+K19)/(F19-K19))</f>
        <v>-4.2160433070866139</v>
      </c>
      <c r="AR19" s="837">
        <f>IF(ISNUMBER((Datos!P19-Datos!Q19+O19)/(Datos!R19-Datos!P19+Datos!Q19-O19)),(Datos!P19-Datos!Q19+O19)/(Datos!R19-Datos!P19+Datos!Q19-O19)," - ")</f>
        <v>0.18150900617206198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1018.6094442915793</v>
      </c>
      <c r="G21" s="555">
        <f>IF(ISNUMBER(STDEV(G8:G18)),STDEV(G8:G18),"-")</f>
        <v>939.27376200977744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806.71999036663453</v>
      </c>
      <c r="AK21" s="255"/>
      <c r="AL21" s="255">
        <f>IF(ISNUMBER(STDEV(AL8:AL18)),STDEV(AL8:AL18),"-")</f>
        <v>0</v>
      </c>
      <c r="AM21" s="257">
        <f>IF(ISNUMBER(STDEV(AM8:AM18)),STDEV(AM8:AM18),"-")</f>
        <v>0</v>
      </c>
      <c r="AN21" s="542">
        <f>IF(ISNUMBER(STDEV(AN8:AN18)),STDEV(AN8:AN18),"-")</f>
        <v>0</v>
      </c>
      <c r="AO21" s="543">
        <f>IF(ISNUMBER(STDEV(AO8:AO18)),STDEV(AO8:AO18),"-")</f>
        <v>1.1682252416114072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CFLzaRWQfLaJXlIWJQ/KN6GsfkGFxjQhJPWny1BnDuPH+GHYf2ML16KCN4+Ritu07XgSXsA31kz6MfTZFSiUw==" saltValue="zyBB4Dep8qJFQRDh+5wC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9g8kjHNeHfVO66Jp4Su6iV8qNJdOKeimeF7WatrXSoxcRIF1vvhmE9gUoYrFsdD2oz9p8gZYE33EMsNl10Xjg==" saltValue="lMLrCo7f4OQ4tMVunvYP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euDOLcTZT4UdrU6kDoRF9p323wEavRvzRy6EuWCWL4sIp/pG4ShYb103uw4gVfSw/4fqpdSwVx+fCJ3Eoo8oQ==" saltValue="W7FJrKh8SsUDqOE3cVs9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DENIA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0.20393858477970628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0.14420635624331793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7ipOSlyfVQ82PFjYF+thZFxbjw6LsbN9Q2YwpVHNJAVIDxvmgoOcbfSAIE8M+81AqNPyyxpDggcobSTjbi1Lg==" saltValue="GtVWe/ONAIx6U4SQjvtv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hcKQ9LP5zEvsFluZiSQ03ta2XRKMgelpv/+ReQHNabDECgwDGqrI33lyriVxqFpDZ/HLUCtrJwHwlYjMz508Bg==" saltValue="aSJIlXqdQXqjCgIPH1U2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DENIA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2550</v>
      </c>
      <c r="D9" s="407">
        <f>IF(ISNUMBER(C9/Datos!BH9),C9/Datos!BH9," - ")</f>
        <v>425</v>
      </c>
      <c r="E9" s="406">
        <f>IF(ISNUMBER(IF(J_V="SI",Datos!J9,Datos!J9+Datos!Z9)),IF(J_V="SI",Datos!J9,Datos!J9+Datos!Z9)," - ")</f>
        <v>9275</v>
      </c>
      <c r="F9" s="407">
        <f>IF(ISNUMBER(E9/B9),E9/B9," - ")</f>
        <v>1545.8333333333333</v>
      </c>
      <c r="G9" s="406">
        <f>IF(ISNUMBER(IF(J_V="SI",Datos!K9,Datos!K9+Datos!AA9)),IF(J_V="SI",Datos!K9,Datos!K9+Datos!AA9)," - ")</f>
        <v>8827</v>
      </c>
      <c r="H9" s="407">
        <f>IF(ISNUMBER(G9/B9),G9/B9," - ")</f>
        <v>1471.1666666666667</v>
      </c>
      <c r="I9" s="406">
        <f>IF(ISNUMBER(IF(J_V="SI",Datos!L9,Datos!L9+Datos!AB9)),IF(J_V="SI",Datos!L9,Datos!L9+Datos!AB9)," - ")</f>
        <v>3020</v>
      </c>
      <c r="J9" s="407">
        <f>IF(ISNUMBER(I9/B9),I9/B9," - ")</f>
        <v>503.33333333333331</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97</v>
      </c>
      <c r="D10" s="407">
        <f>IF(ISNUMBER(C10/Datos!BH10),C10/Datos!BH10," - ")</f>
        <v>97</v>
      </c>
      <c r="E10" s="406">
        <f>IF(ISNUMBER(Datos!J10),Datos!J10," - ")</f>
        <v>138</v>
      </c>
      <c r="F10" s="407">
        <f>IF(ISNUMBER(E10/B10),E10/B10," - ")</f>
        <v>138</v>
      </c>
      <c r="G10" s="406">
        <f>IF(ISNUMBER(Datos!K10),Datos!K10," - ")</f>
        <v>161</v>
      </c>
      <c r="H10" s="407">
        <f>IF(ISNUMBER(G10/B10),G10/B10," - ")</f>
        <v>161</v>
      </c>
      <c r="I10" s="406">
        <f>IF(ISNUMBER(Datos!L10),Datos!L10," - ")</f>
        <v>74</v>
      </c>
      <c r="J10" s="407">
        <f>IF(ISNUMBER(I10/B10),I10/B10," - ")</f>
        <v>74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2647</v>
      </c>
      <c r="D13" s="853" t="str">
        <f>IF(ISNUMBER(C13/Datos!BI13),C13/Datos!BI13," - ")</f>
        <v xml:space="preserve"> - </v>
      </c>
      <c r="E13" s="852">
        <f>SUBTOTAL(9,E8:E12)</f>
        <v>9413</v>
      </c>
      <c r="F13" s="853">
        <f>IF(ISNUMBER(E13/B13),E13/B13," - ")</f>
        <v>1344.7142857142858</v>
      </c>
      <c r="G13" s="852">
        <f>SUBTOTAL(9,G8:G12)</f>
        <v>8988</v>
      </c>
      <c r="H13" s="853">
        <f>IF(ISNUMBER(G13/B13),G13/B13," - ")</f>
        <v>1284</v>
      </c>
      <c r="I13" s="852">
        <f>SUBTOTAL(9,I8:I12)</f>
        <v>3094</v>
      </c>
      <c r="J13" s="853">
        <f>IF(ISNUMBER(I13/B13),I13/B13," - ")</f>
        <v>442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1811</v>
      </c>
      <c r="D15" s="407">
        <f>IF(ISNUMBER(C15/Datos!BH15),C15/Datos!BH15," - ")</f>
        <v>603.66666666666663</v>
      </c>
      <c r="E15" s="406">
        <f>IF(ISNUMBER(IF(D_I="SI",Datos!J15,Datos!J15+Datos!AD15)),IF(D_I="SI",Datos!J15,Datos!J15+Datos!AD15)," - ")</f>
        <v>7609</v>
      </c>
      <c r="F15" s="407">
        <f>IF(ISNUMBER(E15/B15),E15/B15," - ")</f>
        <v>2536.3333333333335</v>
      </c>
      <c r="G15" s="406">
        <f>IF(ISNUMBER(IF(D_I="SI",Datos!K15,Datos!K15+Datos!AE15)),IF(D_I="SI",Datos!K15,Datos!K15+Datos!AE15)," - ")</f>
        <v>7154</v>
      </c>
      <c r="H15" s="407">
        <f>IF(ISNUMBER(G15/B15),G15/B15," - ")</f>
        <v>2384.6666666666665</v>
      </c>
      <c r="I15" s="406">
        <f>IF(ISNUMBER(IF(D_I="SI",Datos!L15,Datos!L15+Datos!AF15)),IF(D_I="SI",Datos!L15,Datos!L15+Datos!AF15)," - ")</f>
        <v>2376</v>
      </c>
      <c r="J15" s="407">
        <f>IF(ISNUMBER(I15/B15),I15/B15," - ")</f>
        <v>792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16</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14</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182</v>
      </c>
      <c r="D17" s="407">
        <f>IF(ISNUMBER(C17/Datos!BH17),C17/Datos!BH17," - ")</f>
        <v>182</v>
      </c>
      <c r="E17" s="406">
        <f>IF(ISNUMBER(IF(D_I="SI",Datos!J17,Datos!J17+Datos!AD17)),IF(D_I="SI",Datos!J17,Datos!J17+Datos!AD17)," - ")</f>
        <v>1232</v>
      </c>
      <c r="F17" s="407">
        <f>IF(ISNUMBER(E17/B17),E17/B17," - ")</f>
        <v>1232</v>
      </c>
      <c r="G17" s="406">
        <f>IF(ISNUMBER(IF(D_I="SI",Datos!K17,Datos!K17+Datos!AE17)),IF(D_I="SI",Datos!K17,Datos!K17+Datos!AE17)," - ")</f>
        <v>1252</v>
      </c>
      <c r="H17" s="407">
        <f>IF(ISNUMBER(G17/B17),G17/B17," - ")</f>
        <v>1252</v>
      </c>
      <c r="I17" s="406">
        <f>IF(ISNUMBER(IF(D_I="SI",Datos!L17,Datos!L17+Datos!AF17)),IF(D_I="SI",Datos!L17,Datos!L17+Datos!AF17)," - ")</f>
        <v>165</v>
      </c>
      <c r="J17" s="407">
        <f>IF(ISNUMBER(I17/B17),I17/B17," - ")</f>
        <v>165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2009</v>
      </c>
      <c r="D18" s="853" t="str">
        <f>IF(ISNUMBER(C18/Datos!BI18),C18/Datos!BI18," - ")</f>
        <v xml:space="preserve"> - </v>
      </c>
      <c r="E18" s="852">
        <f>SUBTOTAL(9,E14:E17)</f>
        <v>8841</v>
      </c>
      <c r="F18" s="853">
        <f>IF(ISNUMBER(E18/B18),E18/B18," - ")</f>
        <v>2210.25</v>
      </c>
      <c r="G18" s="852">
        <f>SUBTOTAL(9,G14:G17)</f>
        <v>8406</v>
      </c>
      <c r="H18" s="853">
        <f>IF(ISNUMBER(G18/B18),G18/B18," - ")</f>
        <v>2101.5</v>
      </c>
      <c r="I18" s="852">
        <f>SUBTOTAL(9,I14:I17)</f>
        <v>2555</v>
      </c>
      <c r="J18" s="853">
        <f>IF(ISNUMBER(I18/B18),I18/B18," - ")</f>
        <v>638.75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4656</v>
      </c>
      <c r="D19" s="798" t="str">
        <f>IF(ISNUMBER(C19/Datos!BI19),C19/Datos!BI19," - ")</f>
        <v xml:space="preserve"> - </v>
      </c>
      <c r="E19" s="797">
        <f>SUBTOTAL(9,E9:E18)</f>
        <v>18254</v>
      </c>
      <c r="F19" s="798">
        <f>IF(ISNUMBER(E19/B19),E19/B19," - ")</f>
        <v>1825.4</v>
      </c>
      <c r="G19" s="797">
        <f>SUBTOTAL(9,G9:G18)</f>
        <v>17394</v>
      </c>
      <c r="H19" s="798">
        <f>IF(ISNUMBER(G19/B19),G19/B19," - ")</f>
        <v>1739.4</v>
      </c>
      <c r="I19" s="797">
        <f>SUBTOTAL(9,I9:I18)</f>
        <v>5649</v>
      </c>
      <c r="J19" s="798">
        <f>IF(ISNUMBER(I19/B19),I19/B19," - ")</f>
        <v>564.9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Rsyd2obPgy2Y6yz+fnQUdqc6LAeNVqBvDwS1TA9ta/m480muyWVWeTI+1+fvC8nE1VlAxbcTdjU2yBb8pyQ4A==" saltValue="a7u+fZiS4OFehoBSrW3v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DENIA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97</v>
      </c>
      <c r="G10" s="687">
        <f>IF(ISNUMBER(Datos!I10),Datos!I10," - ")</f>
        <v>97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161</v>
      </c>
      <c r="AC10" s="686" t="str">
        <f>IF(ISNUMBER(IF(D_I="SI",DatosP!K17,DatosP!K17+DatosP!AE17)),IF(D_I="SI",DatosP!K17,DatosP!K17+DatosP!AE17)," - ")</f>
        <v xml:space="preserve"> - </v>
      </c>
      <c r="AD10" s="688"/>
      <c r="AE10" s="688"/>
      <c r="AF10" s="691">
        <f>IF(ISNUMBER(Datos!L10),Datos!L10,"-")</f>
        <v>74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50</v>
      </c>
      <c r="AM10" s="693">
        <f>IF(ISNUMBER(Datos!N10+DatosP!N17),Datos!N10+DatosP!N17," - ")</f>
        <v>70</v>
      </c>
      <c r="AN10" s="693">
        <f>IF(ISNUMBER(Datos!BW10+DatosP!BW17),Datos!BW10+DatosP!BW17," - ")</f>
        <v>0</v>
      </c>
      <c r="AO10" s="694">
        <f>IF(ISNUMBER(Datos!BX10+DatosP!BX17),Datos!BX10+DatosP!BX17," - ")</f>
        <v>0</v>
      </c>
      <c r="AP10" s="696">
        <f>IF(ISNUMBER(((Datos!L10/Datos!K10)*11)/factor_trimestre),((Datos!L10/Datos!K10)*11)/factor_trimestre," - ")</f>
        <v>5.0559006211180124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97</v>
      </c>
      <c r="G13" s="941">
        <f t="shared" si="0"/>
        <v>97</v>
      </c>
      <c r="H13" s="941">
        <f t="shared" si="0"/>
        <v>0</v>
      </c>
      <c r="I13" s="943">
        <f t="shared" si="0"/>
        <v>0</v>
      </c>
      <c r="J13" s="942">
        <f t="shared" si="0"/>
        <v>0</v>
      </c>
      <c r="K13" s="942">
        <f t="shared" si="0"/>
        <v>0</v>
      </c>
      <c r="L13" s="944">
        <f t="shared" si="0"/>
        <v>0</v>
      </c>
      <c r="M13" s="944">
        <f t="shared" si="0"/>
        <v>0</v>
      </c>
      <c r="N13" s="942">
        <f t="shared" si="0"/>
        <v>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161</v>
      </c>
      <c r="AC13" s="942">
        <f t="shared" si="1"/>
        <v>0</v>
      </c>
      <c r="AD13" s="942">
        <f t="shared" si="1"/>
        <v>0</v>
      </c>
      <c r="AE13" s="942">
        <f t="shared" si="1"/>
        <v>0</v>
      </c>
      <c r="AF13" s="942">
        <f t="shared" si="1"/>
        <v>74</v>
      </c>
      <c r="AG13" s="942">
        <f t="shared" si="1"/>
        <v>0</v>
      </c>
      <c r="AH13" s="942">
        <f t="shared" si="1"/>
        <v>0</v>
      </c>
      <c r="AI13" s="942">
        <f t="shared" si="1"/>
        <v>0</v>
      </c>
      <c r="AJ13" s="942">
        <f t="shared" si="1"/>
        <v>0</v>
      </c>
      <c r="AK13" s="942">
        <f t="shared" si="1"/>
        <v>0</v>
      </c>
      <c r="AL13" s="942">
        <f t="shared" si="1"/>
        <v>50</v>
      </c>
      <c r="AM13" s="942">
        <f t="shared" si="1"/>
        <v>70</v>
      </c>
      <c r="AN13" s="942">
        <f t="shared" si="1"/>
        <v>0</v>
      </c>
      <c r="AO13" s="942">
        <f t="shared" si="1"/>
        <v>0</v>
      </c>
      <c r="AP13" s="947">
        <f>IF(ISNUMBER(((Datos!L13/Datos!K13)*11)/factor_trimestre),((Datos!L13/Datos!K13)*11)/factor_trimestre," - ")</f>
        <v>4.0454656862745102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-1.6597938144329898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3.3434451582203191</v>
      </c>
      <c r="AQ18" s="947">
        <f>IF(ISNUMBER(((Datos!M18/Datos!L18)*11)/factor_trimestre),((Datos!M18/Datos!L18)*11)/factor_trimestre," - ")</f>
        <v>5.9886497064579265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6.3333333333333339E-2</v>
      </c>
      <c r="AW18" s="949">
        <f>IF(ISNUMBER((Datos!Q18-Datos!R18)/(Datos!S18-Datos!Q18+Datos!R18)),(Datos!Q18-Datos!R18)/(Datos!S18-Datos!Q18+Datos!R18)," - ")</f>
        <v>7.5275043427909666E-3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97</v>
      </c>
      <c r="G19" s="954">
        <f t="shared" si="4"/>
        <v>97</v>
      </c>
      <c r="H19" s="954">
        <f t="shared" si="4"/>
        <v>0</v>
      </c>
      <c r="I19" s="955">
        <f t="shared" si="4"/>
        <v>0</v>
      </c>
      <c r="J19" s="956">
        <f t="shared" si="4"/>
        <v>0</v>
      </c>
      <c r="K19" s="956">
        <f t="shared" si="4"/>
        <v>0</v>
      </c>
      <c r="L19" s="956">
        <f t="shared" si="4"/>
        <v>0</v>
      </c>
      <c r="M19" s="956">
        <f t="shared" si="4"/>
        <v>0</v>
      </c>
      <c r="N19" s="955">
        <f t="shared" si="4"/>
        <v>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161</v>
      </c>
      <c r="AC19" s="960">
        <f t="shared" si="5"/>
        <v>0</v>
      </c>
      <c r="AD19" s="960">
        <f t="shared" si="5"/>
        <v>0</v>
      </c>
      <c r="AE19" s="960">
        <f t="shared" si="5"/>
        <v>0</v>
      </c>
      <c r="AF19" s="961">
        <f t="shared" si="5"/>
        <v>74</v>
      </c>
      <c r="AG19" s="961">
        <f t="shared" si="5"/>
        <v>0</v>
      </c>
      <c r="AH19" s="961">
        <f t="shared" si="5"/>
        <v>0</v>
      </c>
      <c r="AI19" s="961">
        <f t="shared" si="5"/>
        <v>0</v>
      </c>
      <c r="AJ19" s="962">
        <f t="shared" si="5"/>
        <v>0</v>
      </c>
      <c r="AK19" s="962">
        <f t="shared" si="5"/>
        <v>0</v>
      </c>
      <c r="AL19" s="954">
        <f t="shared" si="5"/>
        <v>50</v>
      </c>
      <c r="AM19" s="954">
        <f t="shared" si="5"/>
        <v>70</v>
      </c>
      <c r="AN19" s="954">
        <f t="shared" si="5"/>
        <v>0</v>
      </c>
      <c r="AO19" s="954">
        <f t="shared" si="5"/>
        <v>0</v>
      </c>
      <c r="AP19" s="954">
        <f>IF(ISNUMBER(((Datos!L19/Datos!K19)*11)/factor_trimestre),((Datos!L19/Datos!K19)*11)/factor_trimestre," - ")</f>
        <v>3.689243027888446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-1.6597938144329898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0.18150900617206198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64.666666666666671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56.0029761113937</v>
      </c>
      <c r="G21" s="740">
        <f>IF(ISNUMBER(STDEV(G8:G18)),STDEV(G8:G18),"-")</f>
        <v>56.0029761113937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92.95339333952974</v>
      </c>
      <c r="AC21" s="741">
        <f>IF(ISNUMBER(STDEV(AC8:AC18)),STDEV(AC8:AC18),"-")</f>
        <v>0</v>
      </c>
      <c r="AD21" s="744"/>
      <c r="AE21" s="744"/>
      <c r="AF21" s="744"/>
      <c r="AG21" s="744"/>
      <c r="AH21" s="744"/>
      <c r="AI21" s="744"/>
      <c r="AJ21" s="745">
        <f>IF(ISNUMBER(STDEV(AJ8:AJ18)),STDEV(AJ8:AJ18),"-")</f>
        <v>0</v>
      </c>
      <c r="AK21" s="747"/>
      <c r="AL21" s="739">
        <f>IF(ISNUMBER(STDEV(AL8:AL18)),STDEV(AL8:AL18),"-")</f>
        <v>28.867513459481287</v>
      </c>
      <c r="AM21" s="739"/>
      <c r="AN21" s="739">
        <f>IF(ISNUMBER(STDEV(AN8:AN18)),STDEV(AN8:AN18),"-")</f>
        <v>0</v>
      </c>
      <c r="AO21" s="745">
        <f>IF(ISNUMBER(STDEV(AO8:AO18)),STDEV(AO8:AO18),"-")</f>
        <v>0</v>
      </c>
      <c r="AP21" s="782">
        <f>IF(ISNUMBER(STDEV(AP8:AP18)),STDEV(AP8:AP18),"-")</f>
        <v>0.86084409077852186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qtO8EYRrWq5Rkk0Bf8Qjbr7I18ii1pWjM8Rdyr2wEgaY6EIhJZN4GjWP5bZEY+hIt/fLWjC2N4swFgiYjjUsw==" saltValue="n7Kflzm9NFygX0x9ikRD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DENIA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439xXN8ozWPuZ7I4KLlkE23vKb+1R84EVzJzG7lihcrz4CaBifekGci1199CK6idQNl2tdzJsR3E/zPnP/ljg==" saltValue="8mMeKNzREeovJ79LBL4E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DENIA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1783</v>
      </c>
      <c r="E9" s="407">
        <f t="shared" ref="E9:E13" si="0">IF(ISNUMBER(D9/B9),D9/B9," - ")</f>
        <v>297.16666666666669</v>
      </c>
      <c r="F9" s="406">
        <f>IF(ISNUMBER(Datos!N9),Datos!N9," - ")</f>
        <v>3727</v>
      </c>
      <c r="G9" s="407">
        <f t="shared" ref="G9:G13" si="1">IF(ISNUMBER(F9/B9),F9/B9," - ")</f>
        <v>621.16666666666663</v>
      </c>
      <c r="H9" s="406">
        <f>IF(ISNUMBER(Datos!O9),Datos!O9," - ")</f>
        <v>4229</v>
      </c>
      <c r="I9" s="407">
        <f>IF(ISNUMBER(H9/B9),H9/B9," - ")</f>
        <v>704.83333333333337</v>
      </c>
    </row>
    <row r="10" spans="1:9">
      <c r="A10" s="405" t="str">
        <f>Datos!A10</f>
        <v>Jdos. Violencia contra la mujer</v>
      </c>
      <c r="B10" s="430">
        <f>Datos!AO10</f>
        <v>1</v>
      </c>
      <c r="C10" s="413">
        <f>Datos!AQ10</f>
        <v>1</v>
      </c>
      <c r="D10" s="406">
        <f>IF(ISNUMBER(Datos!M10),Datos!M10," - ")</f>
        <v>50</v>
      </c>
      <c r="E10" s="407">
        <f>IF(ISNUMBER(D10/B10),D10/B10," - ")</f>
        <v>50</v>
      </c>
      <c r="F10" s="406">
        <f>IF(ISNUMBER(Datos!N10),Datos!N10," - ")</f>
        <v>70</v>
      </c>
      <c r="G10" s="407">
        <f>IF(ISNUMBER(F10/B10),F10/B10," - ")</f>
        <v>70</v>
      </c>
      <c r="H10" s="406">
        <f>IF(ISNUMBER(Datos!O10),Datos!O10," - ")</f>
        <v>19</v>
      </c>
      <c r="I10" s="407">
        <f t="shared" ref="I10:I12" si="2">IF(ISNUMBER(H10/B10),H10/B10," - ")</f>
        <v>19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1833</v>
      </c>
      <c r="E13" s="853">
        <f t="shared" si="0"/>
        <v>261.85714285714283</v>
      </c>
      <c r="F13" s="852">
        <f>SUBTOTAL(9,F9:F12)</f>
        <v>3797</v>
      </c>
      <c r="G13" s="853">
        <f t="shared" si="1"/>
        <v>542.42857142857144</v>
      </c>
      <c r="H13" s="852">
        <f>SUBTOTAL(9,H9:H12)</f>
        <v>4248</v>
      </c>
      <c r="I13" s="853">
        <f>IF(ISNUMBER(H13/B13),H13/B13," - ")</f>
        <v>606.85714285714289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1143</v>
      </c>
      <c r="E15" s="407">
        <f t="shared" ref="E15:E18" si="3">IF(ISNUMBER(D15/B15),D15/B15," - ")</f>
        <v>381</v>
      </c>
      <c r="F15" s="406">
        <f>IF(ISNUMBER(Datos!N15),Datos!N15," - ")</f>
        <v>4258</v>
      </c>
      <c r="G15" s="407">
        <f t="shared" ref="G15:G18" si="4">IF(ISNUMBER(F15/B15),F15/B15," - ")</f>
        <v>1419.3333333333333</v>
      </c>
      <c r="H15" s="406">
        <f>IF(ISNUMBER(Datos!O15),Datos!O15," - ")</f>
        <v>120</v>
      </c>
      <c r="I15" s="407">
        <f t="shared" ref="I15:I17" si="5">IF(ISNUMBER(H15/B15),H15/B15," - ")</f>
        <v>40</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248</v>
      </c>
      <c r="E17" s="407">
        <f>IF(ISNUMBER(D17/B17),D17/B17," - ")</f>
        <v>248</v>
      </c>
      <c r="F17" s="406">
        <f>IF(ISNUMBER(Datos!N17),Datos!N17," - ")</f>
        <v>662</v>
      </c>
      <c r="G17" s="407">
        <f>IF(ISNUMBER(F17/B17),F17/B17," - ")</f>
        <v>662</v>
      </c>
      <c r="H17" s="406">
        <f>IF(ISNUMBER(Datos!O17),Datos!O17," - ")</f>
        <v>45</v>
      </c>
      <c r="I17" s="407">
        <f t="shared" si="5"/>
        <v>45</v>
      </c>
    </row>
    <row r="18" spans="1:9" ht="14.25" thickTop="1" thickBot="1">
      <c r="A18" s="851" t="str">
        <f>Datos!A18</f>
        <v>TOTAL</v>
      </c>
      <c r="B18" s="852">
        <f>Datos!AO18</f>
        <v>4</v>
      </c>
      <c r="C18" s="854">
        <f>Datos!AR18</f>
        <v>4</v>
      </c>
      <c r="D18" s="852">
        <f>SUBTOTAL(9,D15:D17)</f>
        <v>1391</v>
      </c>
      <c r="E18" s="853">
        <f t="shared" si="3"/>
        <v>347.75</v>
      </c>
      <c r="F18" s="852">
        <f>SUBTOTAL(9,F15:F17)</f>
        <v>4920</v>
      </c>
      <c r="G18" s="853">
        <f t="shared" si="4"/>
        <v>1230</v>
      </c>
      <c r="H18" s="852">
        <f>SUBTOTAL(9,H15:H17)</f>
        <v>165</v>
      </c>
      <c r="I18" s="853">
        <f>IF(ISNUMBER(H18/B18),H18/B18," - ")</f>
        <v>41.25</v>
      </c>
    </row>
    <row r="19" spans="1:9" ht="14.25" thickTop="1" thickBot="1">
      <c r="A19" s="796" t="str">
        <f>Datos!A19</f>
        <v>TOTAL JURISDICCIONES</v>
      </c>
      <c r="B19" s="797">
        <f>Datos!AP19</f>
        <v>10</v>
      </c>
      <c r="C19" s="797">
        <f>Datos!AR19</f>
        <v>10</v>
      </c>
      <c r="D19" s="797">
        <f>SUBTOTAL(9,D8:D18)</f>
        <v>3224</v>
      </c>
      <c r="E19" s="798">
        <f>IF(ISNUMBER(D19/B19),D19/B19," - ")</f>
        <v>322.39999999999998</v>
      </c>
      <c r="F19" s="797">
        <f>SUBTOTAL(9,F8:F18)</f>
        <v>8717</v>
      </c>
      <c r="G19" s="798">
        <f>IF(ISNUMBER(F19/B19),F19/B19," - ")</f>
        <v>871.7</v>
      </c>
      <c r="H19" s="797">
        <f>SUBTOTAL(9,H8:H18)</f>
        <v>4413</v>
      </c>
      <c r="I19" s="798">
        <f>IF(ISNUMBER(H19/B19),H19/B19," - ")</f>
        <v>441.3</v>
      </c>
    </row>
    <row r="22" spans="1:9">
      <c r="A22" s="394" t="str">
        <f>Criterios!A4</f>
        <v>Fecha Informe: 03 may. 2024</v>
      </c>
    </row>
    <row r="27" spans="1:9">
      <c r="A27" s="417"/>
    </row>
  </sheetData>
  <sheetProtection algorithmName="SHA-512" hashValue="Ojq3V3ltO3gko+pKR3t7SubT73srwKpPrtwC/3XZJTAkUCTcibUTGMpQ45lnsfQYiupaPcszTQPBmVXE3kaqIg==" saltValue="C8LHs9q8qkhuDMbDksDP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DENIA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2578</v>
      </c>
      <c r="C9" s="437">
        <f>IF(ISNUMBER(Datos!Q9),Datos!Q9," - ")</f>
        <v>1118</v>
      </c>
      <c r="D9" s="411">
        <f>IF(ISNUMBER(Datos!R9),Datos!R9," - ")</f>
        <v>9031</v>
      </c>
    </row>
    <row r="10" spans="1:4">
      <c r="A10" s="405" t="str">
        <f>Datos!A10</f>
        <v>Jdos. Violencia contra la mujer</v>
      </c>
      <c r="B10" s="436">
        <f>IF(ISNUMBER(Datos!P10),Datos!P10," - ")</f>
        <v>23</v>
      </c>
      <c r="C10" s="437">
        <f>IF(ISNUMBER(Datos!Q10),Datos!Q10," - ")</f>
        <v>61</v>
      </c>
      <c r="D10" s="411">
        <f>IF(ISNUMBER(Datos!R10),Datos!R10," - ")</f>
        <v>30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2601</v>
      </c>
      <c r="C13" s="856">
        <f>SUBTOTAL(9,C9:C12)</f>
        <v>1179</v>
      </c>
      <c r="D13" s="854">
        <f>SUBTOTAL(9,D9:D12)</f>
        <v>9061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308</v>
      </c>
      <c r="C15" s="437">
        <f>IF(ISNUMBER(Datos!Q15),Datos!Q15," - ")</f>
        <v>285</v>
      </c>
      <c r="D15" s="411">
        <f>IF(ISNUMBER(Datos!R15),Datos!R15," - ")</f>
        <v>297</v>
      </c>
    </row>
    <row r="16" spans="1:4">
      <c r="A16" s="405" t="str">
        <f>Datos!A16</f>
        <v xml:space="preserve">Jdos. 1ª Instª. e Instr.                        </v>
      </c>
      <c r="B16" s="436">
        <f>IF(ISNUMBER(Datos!P16),Datos!P16," - ")</f>
        <v>0</v>
      </c>
      <c r="C16" s="437">
        <f>IF(ISNUMBER(Datos!Q16),Datos!Q16," - ")</f>
        <v>2</v>
      </c>
      <c r="D16" s="411">
        <f>IF(ISNUMBER(Datos!R16),Datos!R16," - ")</f>
        <v>6</v>
      </c>
    </row>
    <row r="17" spans="1:4" ht="13.5" thickBot="1">
      <c r="A17" s="405" t="str">
        <f>Datos!A17</f>
        <v>Jdos. Violencia contra la mujer</v>
      </c>
      <c r="B17" s="436">
        <f>IF(ISNUMBER(Datos!P17),Datos!P17," - ")</f>
        <v>43</v>
      </c>
      <c r="C17" s="437">
        <f>IF(ISNUMBER(Datos!Q17),Datos!Q17," - ")</f>
        <v>45</v>
      </c>
      <c r="D17" s="411">
        <f>IF(ISNUMBER(Datos!R17),Datos!R17," - ")</f>
        <v>16</v>
      </c>
    </row>
    <row r="18" spans="1:4" ht="14.25" thickTop="1" thickBot="1">
      <c r="A18" s="851" t="str">
        <f>Datos!A18</f>
        <v>TOTAL</v>
      </c>
      <c r="B18" s="852">
        <f>SUBTOTAL(9,B15:B17)</f>
        <v>351</v>
      </c>
      <c r="C18" s="856">
        <f>SUBTOTAL(9,C15:C17)</f>
        <v>332</v>
      </c>
      <c r="D18" s="854">
        <f>SUBTOTAL(9,D15:D17)</f>
        <v>319</v>
      </c>
    </row>
    <row r="19" spans="1:4" ht="16.5" customHeight="1" thickTop="1" thickBot="1">
      <c r="A19" s="796" t="str">
        <f>Datos!A19</f>
        <v>TOTAL JURISDICCIONES</v>
      </c>
      <c r="B19" s="801">
        <f>SUBTOTAL(9,B8:B18)</f>
        <v>2952</v>
      </c>
      <c r="C19" s="802">
        <f>SUBTOTAL(9,C8:C18)</f>
        <v>1511</v>
      </c>
      <c r="D19" s="803">
        <f>SUBTOTAL(9,D8:D18)</f>
        <v>9380</v>
      </c>
    </row>
    <row r="20" spans="1:4" ht="7.5" customHeight="1"/>
    <row r="21" spans="1:4" ht="6" customHeight="1"/>
    <row r="22" spans="1:4">
      <c r="A22" s="394" t="str">
        <f>Criterios!A4</f>
        <v>Fecha Informe: 03 may. 2024</v>
      </c>
    </row>
    <row r="27" spans="1:4">
      <c r="A27" s="417"/>
    </row>
  </sheetData>
  <sheetProtection algorithmName="SHA-512" hashValue="0sKyzdWJAz/ZzoC2XOE7lXSHcGpR87Dsa4lI6svXojcBLPdHPLD4ssbjAP1EBh/9p2TfCDi5KQ+XTlmvLds28Q==" saltValue="ga8BItP3NhEl5QFUVWS2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DENIA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-0.17073170731707318</v>
      </c>
      <c r="C9" s="459">
        <f>IF(ISNUMBER(
   IF(J_V="SI",(Datos!J9-Datos!T9)/Datos!T9,(Datos!J9+Datos!Z9-(Datos!T9+Datos!AH9))/(Datos!T9+Datos!AH9))
     ),IF(J_V="SI",(Datos!J9-Datos!T9)/Datos!T9,(Datos!J9+Datos!Z9-(Datos!T9+Datos!AH9))/(Datos!T9+Datos!AH9))," - ")</f>
        <v>0.11693159922928709</v>
      </c>
      <c r="D9" s="459">
        <f>IF(ISNUMBER(
   IF(J_V="SI",(Datos!K9-Datos!U9)/Datos!U9,(Datos!K9+Datos!AA9-(Datos!U9+Datos!AI9))/(Datos!U9+Datos!AI9))
     ),IF(J_V="SI",(Datos!K9-Datos!U9)/Datos!U9,(Datos!K9+Datos!AA9-(Datos!U9+Datos!AI9))/(Datos!U9+Datos!AI9))," - ")</f>
        <v>1.8343331795108445E-2</v>
      </c>
      <c r="E9" s="459">
        <f>IF(ISNUMBER(
   IF(J_V="SI",(Datos!L9-Datos!V9)/Datos!V9,(Datos!L9+Datos!AB9-(Datos!V9+Datos!AJ9))/(Datos!V9+Datos!AJ9))
     ),IF(J_V="SI",(Datos!L9-Datos!V9)/Datos!V9,(Datos!L9+Datos!AB9-(Datos!V9+Datos!AJ9))/(Datos!V9+Datos!AJ9))," - ")</f>
        <v>0.18431372549019609</v>
      </c>
      <c r="F9" s="459">
        <f>IF(ISNUMBER((Datos!M9-Datos!W9)/Datos!W9),(Datos!M9-Datos!W9)/Datos!W9," - ")</f>
        <v>-5.7610993657505286E-2</v>
      </c>
      <c r="G9" s="460">
        <f>IF(ISNUMBER((Datos!N9-Datos!X9)/Datos!X9),(Datos!N9-Datos!X9)/Datos!X9," - ")</f>
        <v>3.0982019363762103E-2</v>
      </c>
      <c r="H9" s="458">
        <f>IF(ISNUMBER(((NºAsuntos!G9/NºAsuntos!E9)-Datos!BD9)/Datos!BD9),((NºAsuntos!G9/NºAsuntos!E9)-Datos!BD9)/Datos!BD9," - ")</f>
        <v>-8.8267059059128711E-2</v>
      </c>
      <c r="I9" s="459">
        <f>IF(ISNUMBER(((NºAsuntos!I9/NºAsuntos!G9)-Datos!BE9)/Datos!BE9),((NºAsuntos!I9/NºAsuntos!G9)-Datos!BE9)/Datos!BE9," - ")</f>
        <v>0.16298078311419739</v>
      </c>
      <c r="J9" s="464">
        <f>IF(ISNUMBER((('Resol  Asuntos'!D9/NºAsuntos!G9)-Datos!BF9)/Datos!BF9),(('Resol  Asuntos'!D9/NºAsuntos!G9)-Datos!BF9)/Datos!BF9," - ")</f>
        <v>-0.51566169496613945</v>
      </c>
      <c r="K9" s="465">
        <f>IF(ISNUMBER((((NºAsuntos!C9+NºAsuntos!E9)/NºAsuntos!G9)-Datos!BG9)/Datos!BG9),(((NºAsuntos!C9+NºAsuntos!E9)/NºAsuntos!G9)-Datos!BG9)/Datos!BG9," - ")</f>
        <v>2.0476077077901816E-2</v>
      </c>
    </row>
    <row r="10" spans="1:11">
      <c r="A10" s="405" t="str">
        <f>Datos!A10</f>
        <v>Jdos. Violencia contra la mujer</v>
      </c>
      <c r="B10" s="458">
        <f>IF(ISNUMBER((Datos!I10-Datos!S10)/Datos!S10),(Datos!I10-Datos!S10)/Datos!S10," - ")</f>
        <v>7.7777777777777779E-2</v>
      </c>
      <c r="C10" s="459">
        <f>IF(ISNUMBER((Datos!J10-Datos!T10)/Datos!T10),(Datos!J10-Datos!T10)/Datos!T10," - ")</f>
        <v>0.32692307692307693</v>
      </c>
      <c r="D10" s="459">
        <f>IF(ISNUMBER((Datos!K10-Datos!U10)/Datos!U10),(Datos!K10-Datos!U10)/Datos!U10," - ")</f>
        <v>0.65979381443298968</v>
      </c>
      <c r="E10" s="459">
        <f>IF(ISNUMBER((Datos!L10-Datos!V10)/Datos!V10),(Datos!L10-Datos!V10)/Datos!V10," - ")</f>
        <v>-0.23711340206185566</v>
      </c>
      <c r="F10" s="459">
        <f>IF(ISNUMBER((Datos!M10-Datos!W10)/Datos!W10),(Datos!M10-Datos!W10)/Datos!W10," - ")</f>
        <v>2.0408163265306121E-2</v>
      </c>
      <c r="G10" s="460">
        <f>IF(ISNUMBER((Datos!N10-Datos!X10)/Datos!X10),(Datos!N10-Datos!X10)/Datos!X10," - ")</f>
        <v>0.70731707317073167</v>
      </c>
      <c r="H10" s="458">
        <f>IF(ISNUMBER(((NºAsuntos!G10/NºAsuntos!E10)-Datos!BD10)/Datos!BD10),((NºAsuntos!G10/NºAsuntos!E10)-Datos!BD10)/Datos!BD10," - ")</f>
        <v>0.25085910652920967</v>
      </c>
      <c r="I10" s="459">
        <f>IF(ISNUMBER(((NºAsuntos!I10/NºAsuntos!G10)-Datos!BE10)/Datos!BE10),((NºAsuntos!I10/NºAsuntos!G10)-Datos!BE10)/Datos!BE10," - ")</f>
        <v>-0.54037267080745344</v>
      </c>
      <c r="J10" s="464">
        <f>IF(ISNUMBER((('Resol  Asuntos'!D10/NºAsuntos!G10)-Datos!BF10)/Datos!BF10),(('Resol  Asuntos'!D10/NºAsuntos!G10)-Datos!BF10)/Datos!BF10," - ")</f>
        <v>-0.38521992647990877</v>
      </c>
      <c r="K10" s="465">
        <f>IF(ISNUMBER((((NºAsuntos!C10+NºAsuntos!E10)/NºAsuntos!G10)-Datos!BG10)/Datos!BG10),(((NºAsuntos!C10+NºAsuntos!E10)/NºAsuntos!G10)-Datos!BG10)/Datos!BG10," - ")</f>
        <v>-0.27018633540372672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-0.16366508688783571</v>
      </c>
      <c r="C13" s="858">
        <f>IF(ISNUMBER(
   IF(J_V="SI",(Datos!J13-Datos!T13)/Datos!T13,(Datos!J13+Datos!Z13-(Datos!T13+Datos!AH13))/(Datos!T13+Datos!AH13))
     ),IF(J_V="SI",(Datos!J13-Datos!T13)/Datos!T13,(Datos!J13+Datos!Z13-(Datos!T13+Datos!AH13))/(Datos!T13+Datos!AH13))," - ")</f>
        <v>0.1195290199809705</v>
      </c>
      <c r="D13" s="858">
        <f>IF(ISNUMBER(
   IF(J_V="SI",(Datos!K13-Datos!U13)/Datos!U13,(Datos!K13+Datos!AA13-(Datos!U13+Datos!AI13))/(Datos!U13+Datos!AI13))
     ),IF(J_V="SI",(Datos!K13-Datos!U13)/Datos!U13,(Datos!K13+Datos!AA13-(Datos!U13+Datos!AI13))/(Datos!U13+Datos!AI13))," - ")</f>
        <v>2.5442099258414147E-2</v>
      </c>
      <c r="E13" s="858">
        <f>IF(ISNUMBER(
   IF(J_V="SI",(Datos!L13-Datos!V13)/Datos!V13,(Datos!L13+Datos!AB13-(Datos!V13+Datos!AJ13))/(Datos!V13+Datos!AJ13))
     ),IF(J_V="SI",(Datos!L13-Datos!V13)/Datos!V13,(Datos!L13+Datos!AB13-(Datos!V13+Datos!AJ13))/(Datos!V13+Datos!AJ13))," - ")</f>
        <v>0.16887041934265207</v>
      </c>
      <c r="F13" s="859">
        <f>IF(ISNUMBER((Datos!M13-Datos!W13)/Datos!W13),(Datos!M13-Datos!W13)/Datos!W13," - ")</f>
        <v>-5.5641421947449768E-2</v>
      </c>
      <c r="G13" s="860">
        <f>IF(ISNUMBER((Datos!N13-Datos!X13)/Datos!X13),(Datos!N13-Datos!X13)/Datos!X13," - ")</f>
        <v>3.8566739606126915E-2</v>
      </c>
      <c r="H13" s="860">
        <f>IF(ISNUMBER(((NºAsuntos!G13/NºAsuntos!E13)-Datos!BD13)/Datos!BD13),((NºAsuntos!G13/NºAsuntos!E13)-Datos!BD13)/Datos!BD13," - ")</f>
        <v>-8.4041520177972368E-2</v>
      </c>
      <c r="I13" s="860">
        <f>IF(ISNUMBER(((NºAsuntos!I13/NºAsuntos!G13)-Datos!BE13)/Datos!BE13),((NºAsuntos!I13/NºAsuntos!G13)-Datos!BE13)/Datos!BE13," - ")</f>
        <v>0.13986974026906376</v>
      </c>
      <c r="J13" s="860">
        <f>IF(ISNUMBER((('Resol  Asuntos'!D13/NºAsuntos!G13)-Datos!BF13)/Datos!BF13),(('Resol  Asuntos'!D13/NºAsuntos!G13)-Datos!BF13)/Datos!BF13," - ")</f>
        <v>-0.51213927521994396</v>
      </c>
      <c r="K13" s="860">
        <f>IF(ISNUMBER((((NºAsuntos!C13+NºAsuntos!E13)/NºAsuntos!G13)-Datos!BG13)/Datos!BG13),(((NºAsuntos!C13+NºAsuntos!E13)/NºAsuntos!G13)-Datos!BG13)/Datos!BG13," - ")</f>
        <v>1.62257877290693E-2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0.12905236907730674</v>
      </c>
      <c r="C15" s="459">
        <f>IF(ISNUMBER(
   IF(D_I="SI",(Datos!J15-Datos!T15)/Datos!T15,(Datos!J15+Datos!AD15-(Datos!T15+Datos!AL15))/(Datos!T15+Datos!AL15))
     ),IF(D_I="SI",(Datos!J15-Datos!T15)/Datos!T15,(Datos!J15+Datos!AD15-(Datos!T15+Datos!AL15))/(Datos!T15+Datos!AL15))," - ")</f>
        <v>1.929002009377093E-2</v>
      </c>
      <c r="D15" s="459">
        <f>IF(ISNUMBER(
   IF(D_I="SI",(Datos!K15-Datos!U15)/Datos!U15,(Datos!K15+Datos!AE15-(Datos!U15+Datos!AM15))/(Datos!U15+Datos!AM15))
     ),IF(D_I="SI",(Datos!K15-Datos!U15)/Datos!U15,(Datos!K15+Datos!AE15-(Datos!U15+Datos!AM15))/(Datos!U15+Datos!AM15))," - ")</f>
        <v>-2.4676209952283572E-2</v>
      </c>
      <c r="E15" s="459">
        <f>IF(ISNUMBER(
   IF(D_I="SI",(Datos!L15-Datos!V15)/Datos!V15,(Datos!L15+Datos!AF15-(Datos!V15+Datos!AN15))/(Datos!V15+Datos!AN15))
     ),IF(D_I="SI",(Datos!L15-Datos!V15)/Datos!V15,(Datos!L15+Datos!AF15-(Datos!V15+Datos!AN15))/(Datos!V15+Datos!AN15))," - ")</f>
        <v>0.31198233020430699</v>
      </c>
      <c r="F15" s="459">
        <f>IF(ISNUMBER((Datos!M15-Datos!W15)/Datos!W15),(Datos!M15-Datos!W15)/Datos!W15," - ")</f>
        <v>-7.9710144927536225E-2</v>
      </c>
      <c r="G15" s="460">
        <f>IF(ISNUMBER((Datos!N15-Datos!X15)/Datos!X15),(Datos!N15-Datos!X15)/Datos!X15," - ")</f>
        <v>6.5298974230673004E-2</v>
      </c>
      <c r="H15" s="458">
        <f>IF(ISNUMBER(((NºAsuntos!G15/NºAsuntos!E15)-Datos!BD15)/Datos!BD15),((NºAsuntos!G15/NºAsuntos!E15)-Datos!BD15)/Datos!BD15," - ")</f>
        <v>-4.3134171020343851E-2</v>
      </c>
      <c r="I15" s="459">
        <f>IF(ISNUMBER(((NºAsuntos!I15/NºAsuntos!G15)-Datos!BE15)/Datos!BE15),((NºAsuntos!I15/NºAsuntos!G15)-Datos!BE15)/Datos!BE15," - ")</f>
        <v>0.34517618004593126</v>
      </c>
      <c r="J15" s="464">
        <f>IF(ISNUMBER((('Resol  Asuntos'!D15/NºAsuntos!G15)-Datos!BF15)/Datos!BF15),(('Resol  Asuntos'!D15/NºAsuntos!G15)-Datos!BF15)/Datos!BF15," - ")</f>
        <v>-5.6426322762577308E-2</v>
      </c>
      <c r="K15" s="465">
        <f>IF(ISNUMBER((((NºAsuntos!C15+NºAsuntos!E15)/NºAsuntos!G15)-Datos!BG15)/Datos!BG15),(((NºAsuntos!C15+NºAsuntos!E15)/NºAsuntos!G15)-Datos!BG15)/Datos!BG15," - ")</f>
        <v>6.498301947671517E-2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-0.1111111111111111</v>
      </c>
      <c r="C16" s="459" t="str">
        <f>IF(ISNUMBER(
   IF(D_I="SI",(Datos!J16-Datos!T16)/Datos!T16,(Datos!J16+Datos!AD16-(Datos!T16+Datos!AL16))/(Datos!T16+Datos!AL16))
     ),IF(D_I="SI",(Datos!J16-Datos!T16)/Datos!T16,(Datos!J16+Datos!AD16-(Datos!T16+Datos!AL16))/(Datos!T16+Datos!AL16))," - ")</f>
        <v xml:space="preserve"> - </v>
      </c>
      <c r="D16" s="459">
        <f>IF(ISNUMBER(
   IF(D_I="SI",(Datos!K16-Datos!U16)/Datos!U16,(Datos!K16+Datos!AE16-(Datos!U16+Datos!AM16))/(Datos!U16+Datos!AM16))
     ),IF(D_I="SI",(Datos!K16-Datos!U16)/Datos!U16,(Datos!K16+Datos!AE16-(Datos!U16+Datos!AM16))/(Datos!U16+Datos!AM16))," - ")</f>
        <v>-1</v>
      </c>
      <c r="E16" s="459">
        <f>IF(ISNUMBER(
   IF(D_I="SI",(Datos!L16-Datos!V16)/Datos!V16,(Datos!L16+Datos!AF16-(Datos!V16+Datos!AN16))/(Datos!V16+Datos!AN16))
     ),IF(D_I="SI",(Datos!L16-Datos!V16)/Datos!V16,(Datos!L16+Datos!AF16-(Datos!V16+Datos!AN16))/(Datos!V16+Datos!AN16))," - ")</f>
        <v>-0.125</v>
      </c>
      <c r="F16" s="459" t="str">
        <f>IF(ISNUMBER((Datos!M16-Datos!W16)/Datos!W16),(Datos!M16-Datos!W16)/Datos!W16," - ")</f>
        <v xml:space="preserve"> - </v>
      </c>
      <c r="G16" s="460">
        <f>IF(ISNUMBER((Datos!N16-Datos!X16)/Datos!X16),(Datos!N16-Datos!X16)/Datos!X16," - ")</f>
        <v>-1</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0.5423728813559322</v>
      </c>
      <c r="C17" s="459">
        <f>IF(ISNUMBER(
   IF(D_I="SI",(Datos!J17-Datos!T17)/Datos!T17,(Datos!J17+Datos!AD17-(Datos!T17+Datos!AL17))/(Datos!T17+Datos!AL17))
     ),IF(D_I="SI",(Datos!J17-Datos!T17)/Datos!T17,(Datos!J17+Datos!AD17-(Datos!T17+Datos!AL17))/(Datos!T17+Datos!AL17))," - ")</f>
        <v>-3.5238841033672669E-2</v>
      </c>
      <c r="D17" s="459">
        <f>IF(ISNUMBER(
   IF(D_I="SI",(Datos!K17-Datos!U17)/Datos!U17,(Datos!K17+Datos!AE17-(Datos!U17+Datos!AM17))/(Datos!U17+Datos!AM17))
     ),IF(D_I="SI",(Datos!K17-Datos!U17)/Datos!U17,(Datos!K17+Datos!AE17-(Datos!U17+Datos!AM17))/(Datos!U17+Datos!AM17))," - ")</f>
        <v>2.7914614121510674E-2</v>
      </c>
      <c r="E17" s="459">
        <f>IF(ISNUMBER(
   IF(D_I="SI",(Datos!L17-Datos!V17)/Datos!V17,(Datos!L17+Datos!AF17-(Datos!V17+Datos!AN17))/(Datos!V17+Datos!AN17))
     ),IF(D_I="SI",(Datos!L17-Datos!V17)/Datos!V17,(Datos!L17+Datos!AF17-(Datos!V17+Datos!AN17))/(Datos!V17+Datos!AN17))," - ")</f>
        <v>-9.3406593406593408E-2</v>
      </c>
      <c r="F17" s="459">
        <f>IF(ISNUMBER((Datos!M17-Datos!W17)/Datos!W17),(Datos!M17-Datos!W17)/Datos!W17," - ")</f>
        <v>3.3333333333333333E-2</v>
      </c>
      <c r="G17" s="460">
        <f>IF(ISNUMBER((Datos!N17-Datos!X17)/Datos!X17),(Datos!N17-Datos!X17)/Datos!X17," - ")</f>
        <v>0.12393887945670629</v>
      </c>
      <c r="H17" s="458">
        <f>IF(ISNUMBER(((NºAsuntos!G17/NºAsuntos!E17)-Datos!BD17)/Datos!BD17),((NºAsuntos!G17/NºAsuntos!E17)-Datos!BD17)/Datos!BD17," - ")</f>
        <v>6.546019661783202E-2</v>
      </c>
      <c r="I17" s="459">
        <f>IF(ISNUMBER(((NºAsuntos!I17/NºAsuntos!G17)-Datos!BE17)/Datos!BE17),((NºAsuntos!I17/NºAsuntos!G17)-Datos!BE17)/Datos!BE17," - ")</f>
        <v>-0.11802654214794803</v>
      </c>
      <c r="J17" s="464">
        <f>IF(ISNUMBER((('Resol  Asuntos'!D17/NºAsuntos!G17)-Datos!BF17)/Datos!BF17),(('Resol  Asuntos'!D17/NºAsuntos!G17)-Datos!BF17)/Datos!BF17," - ")</f>
        <v>5.2715654952075796E-3</v>
      </c>
      <c r="K17" s="465">
        <f>IF(ISNUMBER((((NºAsuntos!C17+NºAsuntos!E17)/NºAsuntos!G17)-Datos!BG17)/Datos!BG17),(((NºAsuntos!C17+NºAsuntos!E17)/NºAsuntos!G17)-Datos!BG17)/Datos!BG17," - ")</f>
        <v>-1.390635198735779E-2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0.15459770114942528</v>
      </c>
      <c r="C18" s="858">
        <f>IF(ISNUMBER(
   IF(Criterios!B14="SI",(Datos!J18-Datos!T18)/Datos!T18,(Datos!J18+Datos!AD18-(Datos!T18+Datos!AL18))/(Datos!T18+Datos!AL18))
     ),IF(Criterios!B14="SI",(Datos!J18-Datos!T18)/Datos!T18,(Datos!J18+Datos!AD18-(Datos!T18+Datos!AL18))/(Datos!T18+Datos!AL18))," - ")</f>
        <v>1.1324639670555936E-2</v>
      </c>
      <c r="D18" s="858">
        <f>IF(ISNUMBER(
   IF(Criterios!B14="SI",(Datos!K18-Datos!U18)/Datos!U18,(Datos!K18+Datos!AE18-(Datos!U18+Datos!AM18))/(Datos!U18+Datos!AM18))
     ),IF(Criterios!B14="SI",(Datos!K18-Datos!U18)/Datos!U18,(Datos!K18+Datos!AE18-(Datos!U18+Datos!AM18))/(Datos!U18+Datos!AM18))," - ")</f>
        <v>-1.7416715371127996E-2</v>
      </c>
      <c r="E18" s="858">
        <f>IF(ISNUMBER(
   IF(Criterios!B14="SI",(Datos!L18-Datos!V18)/Datos!V18,(Datos!L18+Datos!AF18-(Datos!V18+Datos!AN18))/(Datos!V18+Datos!AN18))
     ),IF(Criterios!B14="SI",(Datos!L18-Datos!V18)/Datos!V18,(Datos!L18+Datos!AF18-(Datos!V18+Datos!AN18))/(Datos!V18+Datos!AN18))," - ")</f>
        <v>0.27177700348432055</v>
      </c>
      <c r="F18" s="859">
        <f>IF(ISNUMBER((Datos!M18-Datos!W18)/Datos!W18),(Datos!M18-Datos!W18)/Datos!W18," - ")</f>
        <v>-6.1403508771929821E-2</v>
      </c>
      <c r="G18" s="860">
        <f>IF(ISNUMBER((Datos!N18-Datos!X18)/Datos!X18),(Datos!N18-Datos!X18)/Datos!X18," - ")</f>
        <v>7.2362685265911067E-2</v>
      </c>
      <c r="H18" s="860">
        <f>IF(ISNUMBER(((NºAsuntos!G18/NºAsuntos!E18)-Datos!BD18)/Datos!BD18),((NºAsuntos!G18/NºAsuntos!E18)-Datos!BD18)/Datos!BD18," - ")</f>
        <v>-2.8419514282818862E-2</v>
      </c>
      <c r="I18" s="860">
        <f>IF(ISNUMBER(((NºAsuntos!I18/NºAsuntos!G18)-Datos!BE18)/Datos!BE18),((NºAsuntos!I18/NºAsuntos!G18)-Datos!BE18)/Datos!BE18," - ")</f>
        <v>0.29431980309402367</v>
      </c>
      <c r="J18" s="860">
        <f>IF(ISNUMBER((('Resol  Asuntos'!D18/NºAsuntos!G18)-Datos!BF18)/Datos!BF18),(('Resol  Asuntos'!D18/NºAsuntos!G18)-Datos!BF18)/Datos!BF18," - ")</f>
        <v>-4.4766478413497415E-2</v>
      </c>
      <c r="K18" s="860">
        <f>IF(ISNUMBER((((NºAsuntos!C18+NºAsuntos!E18)/NºAsuntos!G18)-Datos!BG18)/Datos!BG18),(((NºAsuntos!C18+NºAsuntos!E18)/NºAsuntos!G18)-Datos!BG18)/Datos!BG18," - ")</f>
        <v>5.3455539135487187E-2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-5.0764525993883793E-2</v>
      </c>
      <c r="C19" s="805">
        <f>IF(ISNUMBER(
   IF(J_V="SI",(Datos!J19-Datos!T19)/Datos!T19,(Datos!J19+Datos!Z19-(Datos!T19+Datos!AH19))/(Datos!T19+Datos!AH19))
     ),IF(J_V="SI",(Datos!J19-Datos!T19)/Datos!T19,(Datos!J19+Datos!Z19-(Datos!T19+Datos!AH19))/(Datos!T19+Datos!AH19))," - ")</f>
        <v>6.4373177842565604E-2</v>
      </c>
      <c r="D19" s="805">
        <f>IF(ISNUMBER(
   IF(J_V="SI",(Datos!K19-Datos!U19)/Datos!U19,(Datos!K19+Datos!AA19-(Datos!U19+Datos!AI19))/(Datos!U19+Datos!AI19))
     ),IF(J_V="SI",(Datos!K19-Datos!U19)/Datos!U19,(Datos!K19+Datos!AA19-(Datos!U19+Datos!AI19))/(Datos!U19+Datos!AI19))," - ")</f>
        <v>4.2725173210161659E-3</v>
      </c>
      <c r="E19" s="805">
        <f>IF(ISNUMBER(
   IF(J_V="SI",(Datos!L19-Datos!V19)/Datos!V19,(Datos!L19+Datos!AB19-(Datos!V19+Datos!AJ19))/(Datos!V19+Datos!AJ19))
     ),IF(J_V="SI",(Datos!L19-Datos!V19)/Datos!V19,(Datos!L19+Datos!AB19-(Datos!V19+Datos!AJ19))/(Datos!V19+Datos!AJ19))," - ")</f>
        <v>0.21327319587628865</v>
      </c>
      <c r="F19" s="806">
        <f>IF(ISNUMBER((Datos!M19-Datos!W19)/Datos!W19),(Datos!M19-Datos!W19)/Datos!W19," - ")</f>
        <v>-5.8136137890739119E-2</v>
      </c>
      <c r="G19" s="807">
        <f>IF(ISNUMBER((Datos!N19-Datos!X19)/Datos!X19),(Datos!N19-Datos!X19)/Datos!X19," - ")</f>
        <v>5.7375060650169819E-2</v>
      </c>
      <c r="H19" s="808">
        <f>IF(ISNUMBER((Tasas!B19-Datos!BD19)/Datos!BD19),(Tasas!B19-Datos!BD19)/Datos!BD19," - ")</f>
        <v>-5.6465778894739353E-2</v>
      </c>
      <c r="I19" s="809">
        <f>IF(ISNUMBER((Tasas!C19-Datos!BE19)/Datos!BE19),(Tasas!C19-Datos!BE19)/Datos!BE19," - ")</f>
        <v>0.20811151848783041</v>
      </c>
      <c r="J19" s="810">
        <f>IF(ISNUMBER((Tasas!D19-Datos!BF19)/Datos!BF19),(Tasas!D19-Datos!BF19)/Datos!BF19," - ")</f>
        <v>-0.37615934590379457</v>
      </c>
      <c r="K19" s="810">
        <f>IF(ISNUMBER((Tasas!E19-Datos!BG19)/Datos!BG19),(Tasas!E19-Datos!BG19)/Datos!BG19," - ")</f>
        <v>3.4347452159424453E-2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bbIFyF1NwxfJ3aTYCYpFcW+CPYCjWOxrtC6OIrLwTdDR8xDOTnF9KmsN5GCwVb5LcZSXFpHhwRslHk5jS70vQ==" saltValue="7L9ys5ngMHAf8UNZqNjl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DENIA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0.95169811320754716</v>
      </c>
      <c r="C9" s="446">
        <f>IF(ISNUMBER(NºAsuntos!I9/NºAsuntos!G9),NºAsuntos!I9/NºAsuntos!G9," - ")</f>
        <v>0.3421320947094143</v>
      </c>
      <c r="D9" s="447">
        <f>IF(ISNUMBER('Resol  Asuntos'!D9/NºAsuntos!G9),'Resol  Asuntos'!D9/NºAsuntos!G9," - ")</f>
        <v>0.20199388240625354</v>
      </c>
      <c r="E9" s="448">
        <f>IF(ISNUMBER((NºAsuntos!C9+NºAsuntos!E9)/NºAsuntos!G9),(NºAsuntos!C9+NºAsuntos!E9)/NºAsuntos!G9," - ")</f>
        <v>1.3396397417015973</v>
      </c>
      <c r="G9" s="466"/>
    </row>
    <row r="10" spans="1:7">
      <c r="A10" s="405" t="str">
        <f>Datos!A10</f>
        <v>Jdos. Violencia contra la mujer</v>
      </c>
      <c r="B10" s="445">
        <f>IF(ISNUMBER(NºAsuntos!G10/NºAsuntos!E10),NºAsuntos!G10/NºAsuntos!E10," - ")</f>
        <v>1.1666666666666667</v>
      </c>
      <c r="C10" s="446">
        <f>IF(ISNUMBER(NºAsuntos!I10/NºAsuntos!G10),NºAsuntos!I10/NºAsuntos!G10," - ")</f>
        <v>0.45962732919254656</v>
      </c>
      <c r="D10" s="447">
        <f>IF(ISNUMBER('Resol  Asuntos'!D10/NºAsuntos!G10),'Resol  Asuntos'!D10/NºAsuntos!G10," - ")</f>
        <v>0.3105590062111801</v>
      </c>
      <c r="E10" s="448">
        <f>IF(ISNUMBER((NºAsuntos!C10+NºAsuntos!E10)/NºAsuntos!G10),(NºAsuntos!C10+NºAsuntos!E10)/NºAsuntos!G10," - ")</f>
        <v>1.4596273291925466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0.95484967598002757</v>
      </c>
      <c r="C13" s="862">
        <f>IF(ISNUMBER(NºAsuntos!I13/NºAsuntos!G13),NºAsuntos!I13/NºAsuntos!G13," - ")</f>
        <v>0.34423676012461057</v>
      </c>
      <c r="D13" s="863">
        <f>IF(ISNUMBER('Resol  Asuntos'!D13/NºAsuntos!G13),'Resol  Asuntos'!D13/NºAsuntos!G13," - ")</f>
        <v>0.20393858477970628</v>
      </c>
      <c r="E13" s="864">
        <f>IF(ISNUMBER((NºAsuntos!C13+NºAsuntos!E13)/NºAsuntos!G13),(NºAsuntos!C13+NºAsuntos!E13)/NºAsuntos!G13," - ")</f>
        <v>1.341789052069426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0.94020239190432386</v>
      </c>
      <c r="C15" s="446">
        <f>IF(ISNUMBER(NºAsuntos!I15/NºAsuntos!G15),NºAsuntos!I15/NºAsuntos!G15," - ")</f>
        <v>0.33212188985183116</v>
      </c>
      <c r="D15" s="447">
        <f>IF(ISNUMBER('Resol  Asuntos'!D15/NºAsuntos!G15),'Resol  Asuntos'!D15/NºAsuntos!G15," - ")</f>
        <v>0.15977075761811574</v>
      </c>
      <c r="E15" s="448">
        <f>IF(ISNUMBER((NºAsuntos!C15+NºAsuntos!E15)/NºAsuntos!G15),(NºAsuntos!C15+NºAsuntos!E15)/NºAsuntos!G15," - ")</f>
        <v>1.3167458764327649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1.0162337662337662</v>
      </c>
      <c r="C17" s="446">
        <f>IF(ISNUMBER(NºAsuntos!I17/NºAsuntos!G17),NºAsuntos!I17/NºAsuntos!G17," - ")</f>
        <v>0.13178913738019168</v>
      </c>
      <c r="D17" s="447">
        <f>IF(ISNUMBER('Resol  Asuntos'!D17/NºAsuntos!G17),'Resol  Asuntos'!D17/NºAsuntos!G17," - ")</f>
        <v>0.19808306709265175</v>
      </c>
      <c r="E17" s="448">
        <f>IF(ISNUMBER((NºAsuntos!C17+NºAsuntos!E17)/NºAsuntos!G17),(NºAsuntos!C17+NºAsuntos!E17)/NºAsuntos!G17," - ")</f>
        <v>1.1293929712460065</v>
      </c>
      <c r="G17" s="466"/>
    </row>
    <row r="18" spans="1:7" ht="14.25" thickTop="1" thickBot="1">
      <c r="A18" s="851" t="str">
        <f>Datos!A18</f>
        <v>TOTAL</v>
      </c>
      <c r="B18" s="861">
        <f>IF(ISNUMBER(NºAsuntos!G18/NºAsuntos!E18),NºAsuntos!G18/NºAsuntos!E18," - ")</f>
        <v>0.95079742110620968</v>
      </c>
      <c r="C18" s="862">
        <f>IF(ISNUMBER(NºAsuntos!I18/NºAsuntos!G18),NºAsuntos!I18/NºAsuntos!G18," - ")</f>
        <v>0.30394955983821081</v>
      </c>
      <c r="D18" s="865">
        <f>IF(ISNUMBER('Resol  Asuntos'!D18/NºAsuntos!G18),'Resol  Asuntos'!D18/NºAsuntos!G18," - ")</f>
        <v>0.16547704020937426</v>
      </c>
      <c r="E18" s="864">
        <f>IF(ISNUMBER((NºAsuntos!C18+NºAsuntos!E18)/NºAsuntos!G18),(NºAsuntos!C18+NºAsuntos!E18)/NºAsuntos!G18," - ")</f>
        <v>1.290744706162265</v>
      </c>
      <c r="G18" s="466"/>
    </row>
    <row r="19" spans="1:7" ht="15.75" customHeight="1" thickTop="1" thickBot="1">
      <c r="A19" s="796" t="str">
        <f>Datos!A19</f>
        <v>TOTAL JURISDICCIONES</v>
      </c>
      <c r="B19" s="811">
        <f>IF(ISNUMBER(NºAsuntos!G19/NºAsuntos!E19),NºAsuntos!G19/NºAsuntos!E19," - ")</f>
        <v>0.95288703845732448</v>
      </c>
      <c r="C19" s="812">
        <f>IF(ISNUMBER(NºAsuntos!I19/NºAsuntos!G19),NºAsuntos!I19/NºAsuntos!G19," - ")</f>
        <v>0.32476716109003106</v>
      </c>
      <c r="D19" s="813">
        <f>IF(ISNUMBER('Resol  Asuntos'!D19/NºAsuntos!G19),'Resol  Asuntos'!D19/NºAsuntos!G19," - ")</f>
        <v>0.18535127055306427</v>
      </c>
      <c r="E19" s="814">
        <f>IF(ISNUMBER((NºAsuntos!C19+NºAsuntos!E19)/NºAsuntos!G19),(NºAsuntos!C19+NºAsuntos!E19)/NºAsuntos!G19," - ")</f>
        <v>1.3171208462688284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aZtY7aIrM/U4GyHEHZlHnf4KZ1SkSXQH6iiPI0mPpANwO2+KsUWdUUuBwsE1nCOZ/NGTQh4FF6b8JWEyxopqw==" saltValue="Pqy9vJbZfnHFJrOzWReC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DENIA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2578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1118</v>
      </c>
      <c r="Y9" s="337">
        <f>SUM(W9:X9)</f>
        <v>1118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9031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1783</v>
      </c>
      <c r="AJ9" s="232" t="str">
        <f>IF(ISNUMBER(Datos!BW9),Datos!BW9," - ")</f>
        <v xml:space="preserve"> - </v>
      </c>
      <c r="AK9" s="231" t="str">
        <f>IF(ISNUMBER(Datos!BX9),Datos!BX9," - ")</f>
        <v xml:space="preserve"> - </v>
      </c>
      <c r="AL9" s="246">
        <f>IF(ISNUMBER(NºAsuntos!G9/NºAsuntos!E9),NºAsuntos!G9/NºAsuntos!E9," - ")</f>
        <v>0.95169811320754716</v>
      </c>
      <c r="AM9" s="263">
        <f>IF(ISNUMBER(((NºAsuntos!I9/NºAsuntos!G9)*11)/factor_trimestre),((NºAsuntos!I9/NºAsuntos!G9)*11)/factor_trimestre," - ")</f>
        <v>3.7634530418035572</v>
      </c>
      <c r="AN9" s="247">
        <f>IF(ISNUMBER('Resol  Asuntos'!D9/NºAsuntos!G9),'Resol  Asuntos'!D9/NºAsuntos!G9," - ")</f>
        <v>0.20199388240625354</v>
      </c>
      <c r="AO9" s="248">
        <f>IF(ISNUMBER((NºAsuntos!C9+NºAsuntos!E9)/NºAsuntos!G9),(NºAsuntos!C9+NºAsuntos!E9)/NºAsuntos!G9," - ")</f>
        <v>1.3396397417015973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97</v>
      </c>
      <c r="G10" s="336">
        <f>IF(ISNUMBER(Datos!I10),Datos!I10," - ")</f>
        <v>97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161</v>
      </c>
      <c r="X10" s="229">
        <f>IF(ISNUMBER(Datos!Q10),Datos!Q10," - ")</f>
        <v>61</v>
      </c>
      <c r="Y10" s="337">
        <f t="shared" ref="Y10:Y12" si="0">SUM(W10:X10)</f>
        <v>222</v>
      </c>
      <c r="Z10" s="338" t="str">
        <f>IF(ISNUMBER(Datos!CC10),Datos!CC10," - ")</f>
        <v xml:space="preserve"> - </v>
      </c>
      <c r="AA10" s="335">
        <f>IF(ISNUMBER(Datos!L10),Datos!L10,"-")</f>
        <v>74</v>
      </c>
      <c r="AB10" s="337">
        <f>IF(ISNUMBER(Datos!R10),Datos!R10," - ")</f>
        <v>30</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50</v>
      </c>
      <c r="AJ10" s="234" t="str">
        <f>IF(ISNUMBER(Datos!BW10),Datos!BW10," - ")</f>
        <v xml:space="preserve"> - </v>
      </c>
      <c r="AK10" s="235" t="str">
        <f>IF(ISNUMBER(Datos!BX10),Datos!BX10," - ")</f>
        <v xml:space="preserve"> - </v>
      </c>
      <c r="AL10" s="246">
        <f>IF(ISNUMBER(NºAsuntos!G10/NºAsuntos!E10),NºAsuntos!G10/NºAsuntos!E10," - ")</f>
        <v>1.1666666666666667</v>
      </c>
      <c r="AM10" s="263">
        <f>IF(ISNUMBER(((NºAsuntos!I10/NºAsuntos!G10)*11)/factor_trimestre),((NºAsuntos!I10/NºAsuntos!G10)*11)/factor_trimestre," - ")</f>
        <v>5.0559006211180124</v>
      </c>
      <c r="AN10" s="247">
        <f>IF(ISNUMBER('Resol  Asuntos'!D10/NºAsuntos!G10),'Resol  Asuntos'!D10/NºAsuntos!G10," - ")</f>
        <v>0.3105590062111801</v>
      </c>
      <c r="AO10" s="248">
        <f>IF(ISNUMBER((NºAsuntos!C10+NºAsuntos!E10)/NºAsuntos!G10),(NºAsuntos!C10+NºAsuntos!E10)/NºAsuntos!G10," - ")</f>
        <v>1.4596273291925466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97</v>
      </c>
      <c r="G13" s="869">
        <f t="shared" si="3"/>
        <v>97</v>
      </c>
      <c r="H13" s="868">
        <f t="shared" si="3"/>
        <v>0</v>
      </c>
      <c r="I13" s="870">
        <f t="shared" si="3"/>
        <v>0</v>
      </c>
      <c r="J13" s="870">
        <f t="shared" si="3"/>
        <v>0</v>
      </c>
      <c r="K13" s="870">
        <f t="shared" si="3"/>
        <v>0</v>
      </c>
      <c r="L13" s="870">
        <f t="shared" si="3"/>
        <v>2601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161</v>
      </c>
      <c r="X13" s="870">
        <f t="shared" si="4"/>
        <v>1179</v>
      </c>
      <c r="Y13" s="871">
        <f t="shared" si="4"/>
        <v>1340</v>
      </c>
      <c r="Z13" s="871">
        <f t="shared" si="4"/>
        <v>0</v>
      </c>
      <c r="AA13" s="871">
        <f t="shared" si="4"/>
        <v>74</v>
      </c>
      <c r="AB13" s="871">
        <f t="shared" si="4"/>
        <v>9061</v>
      </c>
      <c r="AC13" s="871">
        <f t="shared" si="4"/>
        <v>104</v>
      </c>
      <c r="AD13" s="871">
        <f t="shared" si="4"/>
        <v>0</v>
      </c>
      <c r="AE13" s="875">
        <f t="shared" si="4"/>
        <v>0</v>
      </c>
      <c r="AF13" s="868">
        <f t="shared" si="4"/>
        <v>0</v>
      </c>
      <c r="AG13" s="876">
        <f t="shared" si="4"/>
        <v>0</v>
      </c>
      <c r="AH13" s="873">
        <f t="shared" si="4"/>
        <v>0</v>
      </c>
      <c r="AI13" s="868">
        <f t="shared" si="4"/>
        <v>1833</v>
      </c>
      <c r="AJ13" s="870">
        <f t="shared" si="4"/>
        <v>0</v>
      </c>
      <c r="AK13" s="873">
        <f>SUBTOTAL(9,AK9:AK12)</f>
        <v>0</v>
      </c>
      <c r="AL13" s="877">
        <f>IF(ISNUMBER(NºAsuntos!G13/NºAsuntos!E13),NºAsuntos!G13/NºAsuntos!E13," - ")</f>
        <v>0.95484967598002757</v>
      </c>
      <c r="AM13" s="877">
        <f>IF(ISNUMBER(((NºAsuntos!I13/NºAsuntos!G13)*11)/factor_trimestre),((NºAsuntos!I13/NºAsuntos!G13)*11)/factor_trimestre," - ")</f>
        <v>3.7866043613707161</v>
      </c>
      <c r="AN13" s="878">
        <f>IF(ISNUMBER('Resol  Asuntos'!D13/NºAsuntos!G13),'Resol  Asuntos'!D13/NºAsuntos!G13," - ")</f>
        <v>0.20393858477970628</v>
      </c>
      <c r="AO13" s="879">
        <f>IF(ISNUMBER((NºAsuntos!C13+NºAsuntos!E13)/NºAsuntos!G13),(NºAsuntos!C13+NºAsuntos!E13)/NºAsuntos!G13," - ")</f>
        <v>1.341789052069426</v>
      </c>
      <c r="AP13" s="880" t="str">
        <f t="shared" si="2"/>
        <v xml:space="preserve"> - </v>
      </c>
      <c r="AQ13" s="880">
        <f>IF(ISNUMBER((H13-W13+K13)/(F13)),(H13-W13+K13)/(F13)," - ")</f>
        <v>-1.6597938144329898</v>
      </c>
      <c r="AR13" s="881">
        <f>IF(ISNUMBER((Datos!P13-Datos!Q13)/(Datos!R13-Datos!P13+Datos!Q13)),(Datos!P13-Datos!Q13)/(Datos!R13-Datos!P13+Datos!Q13)," - ")</f>
        <v>0.18615001963607802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1921</v>
      </c>
      <c r="G15" s="336">
        <f>IF(ISNUMBER(IF(D_I="SI",Datos!I15,Datos!I15+Datos!AC15)),IF(D_I="SI",Datos!I15,Datos!I15+Datos!AC15)," - ")</f>
        <v>1811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308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7154</v>
      </c>
      <c r="X15" s="229">
        <f>IF(ISNUMBER(Datos!Q15),Datos!Q15," - ")</f>
        <v>285</v>
      </c>
      <c r="Y15" s="337">
        <f>SUM(W15)</f>
        <v>7154</v>
      </c>
      <c r="Z15" s="338" t="str">
        <f>IF(ISNUMBER(Datos!CC15),Datos!CC15," - ")</f>
        <v xml:space="preserve"> - </v>
      </c>
      <c r="AA15" s="335">
        <f>IF(ISNUMBER(IF(D_I="SI",Datos!L15,Datos!L15+Datos!AF15)),IF(D_I="SI",Datos!L15,Datos!L15+Datos!AF15)," - ")</f>
        <v>2376</v>
      </c>
      <c r="AB15" s="337">
        <f>IF(ISNUMBER(Datos!R15),Datos!R15," - ")</f>
        <v>297</v>
      </c>
      <c r="AC15" s="337">
        <f t="shared" ref="AC15:AC17" si="6">IF(ISNUMBER(AA15+AB15),AA15+AB15," - ")</f>
        <v>2673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1143</v>
      </c>
      <c r="AJ15" s="234" t="str">
        <f>IF(ISNUMBER(Datos!BW15),Datos!BW15," - ")</f>
        <v xml:space="preserve"> - </v>
      </c>
      <c r="AK15" s="235" t="str">
        <f>IF(ISNUMBER(Datos!BX15),Datos!BX15," - ")</f>
        <v xml:space="preserve"> - </v>
      </c>
      <c r="AL15" s="246">
        <f>IF(ISNUMBER(NºAsuntos!G15/NºAsuntos!E15),NºAsuntos!G15/NºAsuntos!E15," - ")</f>
        <v>0.94020239190432386</v>
      </c>
      <c r="AM15" s="263">
        <f>IF(ISNUMBER(((NºAsuntos!I15/NºAsuntos!G15)*11)/factor_trimestre),((NºAsuntos!I15/NºAsuntos!G15)*11)/factor_trimestre," - ")</f>
        <v>3.653340788370143</v>
      </c>
      <c r="AN15" s="247">
        <f>IF(ISNUMBER('Resol  Asuntos'!D15/NºAsuntos!G15),'Resol  Asuntos'!D15/NºAsuntos!G15," - ")</f>
        <v>0.15977075761811574</v>
      </c>
      <c r="AO15" s="248">
        <f>IF(ISNUMBER((NºAsuntos!C15+NºAsuntos!E15)/NºAsuntos!G15),(NºAsuntos!C15+NºAsuntos!E15)/NºAsuntos!G15," - ")</f>
        <v>1.3167458764327649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14</v>
      </c>
      <c r="G16" s="336">
        <f>IF(ISNUMBER(IF(D_I="SI",Datos!I16,Datos!I16+Datos!AC16)),IF(D_I="SI",Datos!I16,Datos!I16+Datos!AC16)," - ")</f>
        <v>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2</v>
      </c>
      <c r="Y16" s="337">
        <f t="shared" ref="Y16:Y17" si="7">SUM(W16:X16)</f>
        <v>2</v>
      </c>
      <c r="Z16" s="338" t="str">
        <f>IF(ISNUMBER(Datos!CC16),Datos!CC16," - ")</f>
        <v xml:space="preserve"> - </v>
      </c>
      <c r="AA16" s="335">
        <f>IF(ISNUMBER(IF(D_I="SI",Datos!L16,Datos!L16+Datos!AF16)),IF(D_I="SI",Datos!L16,Datos!L16+Datos!AF16)," - ")</f>
        <v>14</v>
      </c>
      <c r="AB16" s="337">
        <f>IF(ISNUMBER(Datos!R16),Datos!R16," - ")</f>
        <v>6</v>
      </c>
      <c r="AC16" s="337">
        <f t="shared" si="6"/>
        <v>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1252</v>
      </c>
      <c r="X17" s="229">
        <f>IF(ISNUMBER(Datos!Q17),Datos!Q17," - ")</f>
        <v>45</v>
      </c>
      <c r="Y17" s="337">
        <f t="shared" si="7"/>
        <v>1297</v>
      </c>
      <c r="Z17" s="338" t="str">
        <f>IF(ISNUMBER(Datos!CC17),Datos!CC17," - ")</f>
        <v xml:space="preserve"> - </v>
      </c>
      <c r="AA17" s="335">
        <f>IF(ISNUMBER(Datos!L17),Datos!L17,"-")</f>
        <v>165</v>
      </c>
      <c r="AB17" s="337">
        <f>IF(ISNUMBER(Datos!R17),Datos!R17," - ")</f>
        <v>16</v>
      </c>
      <c r="AC17" s="337">
        <f t="shared" si="6"/>
        <v>181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248</v>
      </c>
      <c r="AJ17" s="234" t="str">
        <f>IF(ISNUMBER(Datos!BW17),Datos!BW17," - ")</f>
        <v xml:space="preserve"> - </v>
      </c>
      <c r="AK17" s="235" t="str">
        <f>IF(ISNUMBER(Datos!BX17),Datos!BX17," - ")</f>
        <v xml:space="preserve"> - </v>
      </c>
      <c r="AL17" s="246">
        <f>IF(ISNUMBER(NºAsuntos!G17/NºAsuntos!E17),NºAsuntos!G17/NºAsuntos!E17," - ")</f>
        <v>1.0162337662337662</v>
      </c>
      <c r="AM17" s="263">
        <f>IF(ISNUMBER(((NºAsuntos!I17/NºAsuntos!G17)*11)/factor_trimestre),((NºAsuntos!I17/NºAsuntos!G17)*11)/factor_trimestre," - ")</f>
        <v>1.4496805111821085</v>
      </c>
      <c r="AN17" s="247">
        <f>IF(ISNUMBER('Resol  Asuntos'!D17/NºAsuntos!G17),'Resol  Asuntos'!D17/NºAsuntos!G17," - ")</f>
        <v>0.19808306709265175</v>
      </c>
      <c r="AO17" s="248">
        <f>IF(ISNUMBER((NºAsuntos!C17+NºAsuntos!E17)/NºAsuntos!G17),(NºAsuntos!C17+NºAsuntos!E17)/NºAsuntos!G17," - ")</f>
        <v>1.1293929712460065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1935</v>
      </c>
      <c r="G18" s="869">
        <f>SUBTOTAL(9,G15:G17)</f>
        <v>2009</v>
      </c>
      <c r="H18" s="868">
        <f t="shared" ref="H18:O18" si="10">SUBTOTAL(9,H14:H17)</f>
        <v>0</v>
      </c>
      <c r="I18" s="870">
        <f t="shared" si="10"/>
        <v>0</v>
      </c>
      <c r="J18" s="870">
        <f t="shared" si="10"/>
        <v>0</v>
      </c>
      <c r="K18" s="870">
        <f t="shared" si="10"/>
        <v>0</v>
      </c>
      <c r="L18" s="870">
        <f t="shared" si="10"/>
        <v>351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8406</v>
      </c>
      <c r="X18" s="870">
        <f t="shared" si="11"/>
        <v>332</v>
      </c>
      <c r="Y18" s="871">
        <f t="shared" si="11"/>
        <v>8453</v>
      </c>
      <c r="Z18" s="871">
        <f t="shared" si="11"/>
        <v>0</v>
      </c>
      <c r="AA18" s="871">
        <f t="shared" si="11"/>
        <v>2555</v>
      </c>
      <c r="AB18" s="871">
        <f t="shared" si="11"/>
        <v>319</v>
      </c>
      <c r="AC18" s="871">
        <f t="shared" si="11"/>
        <v>2874</v>
      </c>
      <c r="AD18" s="871">
        <f t="shared" si="11"/>
        <v>0</v>
      </c>
      <c r="AE18" s="875">
        <f t="shared" si="11"/>
        <v>0</v>
      </c>
      <c r="AF18" s="868">
        <f t="shared" si="11"/>
        <v>0</v>
      </c>
      <c r="AG18" s="876">
        <f t="shared" si="11"/>
        <v>0</v>
      </c>
      <c r="AH18" s="873">
        <f t="shared" si="11"/>
        <v>0</v>
      </c>
      <c r="AI18" s="868">
        <f t="shared" si="11"/>
        <v>1391</v>
      </c>
      <c r="AJ18" s="870">
        <f t="shared" si="11"/>
        <v>0</v>
      </c>
      <c r="AK18" s="873">
        <f t="shared" si="11"/>
        <v>0</v>
      </c>
      <c r="AL18" s="877">
        <f>IF(ISNUMBER(NºAsuntos!G18/NºAsuntos!E18),NºAsuntos!G18/NºAsuntos!E18," - ")</f>
        <v>0.95079742110620968</v>
      </c>
      <c r="AM18" s="877">
        <f>IF(ISNUMBER(((NºAsuntos!I18/NºAsuntos!G18)*11)/factor_trimestre),((NºAsuntos!I18/NºAsuntos!G18)*11)/factor_trimestre," - ")</f>
        <v>3.3434451582203191</v>
      </c>
      <c r="AN18" s="878">
        <f>IF(ISNUMBER('Resol  Asuntos'!D18/NºAsuntos!G18),'Resol  Asuntos'!D18/NºAsuntos!G18," - ")</f>
        <v>0.16547704020937426</v>
      </c>
      <c r="AO18" s="879">
        <f>IF(ISNUMBER((NºAsuntos!C18+NºAsuntos!E18)/NºAsuntos!G18),(NºAsuntos!C18+NºAsuntos!E18)/NºAsuntos!G18," - ")</f>
        <v>1.290744706162265</v>
      </c>
      <c r="AP18" s="880" t="str">
        <f t="shared" si="2"/>
        <v xml:space="preserve"> - </v>
      </c>
      <c r="AQ18" s="880">
        <f>IF(ISNUMBER((H18-W18+K18)/(F18)),(H18-W18+K18)/(F18)," - ")</f>
        <v>-4.344186046511628</v>
      </c>
      <c r="AR18" s="881">
        <f>IF(ISNUMBER((Datos!P18-Datos!Q18)/(Datos!R18-Datos!P18+Datos!Q18)),(Datos!P18-Datos!Q18)/(Datos!R18-Datos!P18+Datos!Q18)," - ")</f>
        <v>6.3333333333333339E-2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2032</v>
      </c>
      <c r="G19" s="824">
        <f t="shared" si="13"/>
        <v>2106</v>
      </c>
      <c r="H19" s="823">
        <f t="shared" si="13"/>
        <v>0</v>
      </c>
      <c r="I19" s="825">
        <f t="shared" si="13"/>
        <v>0</v>
      </c>
      <c r="J19" s="825">
        <f t="shared" si="13"/>
        <v>0</v>
      </c>
      <c r="K19" s="884">
        <f t="shared" si="13"/>
        <v>0</v>
      </c>
      <c r="L19" s="825">
        <f t="shared" si="13"/>
        <v>2952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8567</v>
      </c>
      <c r="X19" s="824">
        <f t="shared" si="14"/>
        <v>1511</v>
      </c>
      <c r="Y19" s="831">
        <f t="shared" si="14"/>
        <v>9793</v>
      </c>
      <c r="Z19" s="831">
        <f t="shared" si="14"/>
        <v>0</v>
      </c>
      <c r="AA19" s="831">
        <f t="shared" si="14"/>
        <v>2629</v>
      </c>
      <c r="AB19" s="831">
        <f t="shared" si="14"/>
        <v>9380</v>
      </c>
      <c r="AC19" s="831">
        <f t="shared" si="14"/>
        <v>2978</v>
      </c>
      <c r="AD19" s="831">
        <f t="shared" si="14"/>
        <v>0</v>
      </c>
      <c r="AE19" s="833">
        <f t="shared" si="14"/>
        <v>0</v>
      </c>
      <c r="AF19" s="834">
        <f t="shared" si="14"/>
        <v>0</v>
      </c>
      <c r="AG19" s="835">
        <f t="shared" si="14"/>
        <v>0</v>
      </c>
      <c r="AH19" s="833">
        <f t="shared" si="14"/>
        <v>0</v>
      </c>
      <c r="AI19" s="823">
        <f t="shared" si="14"/>
        <v>3224</v>
      </c>
      <c r="AJ19" s="823">
        <f t="shared" si="14"/>
        <v>0</v>
      </c>
      <c r="AK19" s="833">
        <f t="shared" si="14"/>
        <v>0</v>
      </c>
      <c r="AL19" s="887">
        <f>IF(ISNUMBER(NºAsuntos!G19/NºAsuntos!E19),NºAsuntos!G19/NºAsuntos!E19," - ")</f>
        <v>0.95288703845732448</v>
      </c>
      <c r="AM19" s="888">
        <f>IF(ISNUMBER(((NºAsuntos!I19/NºAsuntos!G19)*11)/factor_trimestre),((NºAsuntos!I19/NºAsuntos!G19)*11)/factor_trimestre," - ")</f>
        <v>3.5724387719903419</v>
      </c>
      <c r="AN19" s="888">
        <f>IF(ISNUMBER('Resol  Asuntos'!D19/NºAsuntos!G19),'Resol  Asuntos'!D19/NºAsuntos!G19," - ")</f>
        <v>0.18535127055306427</v>
      </c>
      <c r="AO19" s="889">
        <f>IF(ISNUMBER((NºAsuntos!C19+NºAsuntos!E19)/NºAsuntos!G19),(NºAsuntos!C19+NºAsuntos!E19)/NºAsuntos!G19," - ")</f>
        <v>1.3171208462688284</v>
      </c>
      <c r="AP19" s="890" t="str">
        <f t="shared" si="2"/>
        <v xml:space="preserve"> - </v>
      </c>
      <c r="AQ19" s="891">
        <f>IF(OR(ISNUMBER(FIND("01",Criterios!A8,1)),ISNUMBER(FIND("02",Criterios!A8,1)),ISNUMBER(FIND("03",Criterios!A8,1)),ISNUMBER(FIND("04",Criterios!A8,1))),(I19-W19+K19)/(F19-K19),(H19-W19+K19)/(F19-K19))</f>
        <v>-4.2160433070866139</v>
      </c>
      <c r="AR19" s="892">
        <f>IF(ISNUMBER((Datos!P19-Datos!Q19)/(Datos!R19-Datos!P19+Datos!Q19)),(Datos!P19-Datos!Q19)/(Datos!R19-Datos!P19+Datos!Q19)," - ")</f>
        <v>0.18150900617206198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2.6977356760397742</v>
      </c>
      <c r="F21" s="255">
        <f>IF(ISNUMBER(STDEV(F8:F18)),STDEV(F8:F18),"-")</f>
        <v>1018.6094442915793</v>
      </c>
      <c r="G21" s="256">
        <f>IF(ISNUMBER(STDEV(G8:G18)),STDEV(G8:G18),"-")</f>
        <v>939.27376200977744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3860.8523756635227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806.71999036663453</v>
      </c>
      <c r="AJ21" s="255">
        <f t="shared" si="18"/>
        <v>0</v>
      </c>
      <c r="AK21" s="257">
        <f t="shared" si="18"/>
        <v>0</v>
      </c>
      <c r="AL21" s="252">
        <f t="shared" si="18"/>
        <v>8.7573821947629485E-2</v>
      </c>
      <c r="AM21" s="253">
        <f t="shared" si="18"/>
        <v>1.1682252416114072</v>
      </c>
      <c r="AN21" s="253">
        <f t="shared" si="18"/>
        <v>5.4391874565554124E-2</v>
      </c>
      <c r="AO21" s="254">
        <f t="shared" si="18"/>
        <v>0.10701301707602241</v>
      </c>
      <c r="AP21" s="294" t="str">
        <f t="shared" si="18"/>
        <v>-</v>
      </c>
      <c r="AQ21" s="295">
        <f t="shared" si="18"/>
        <v>1.8981519506672964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dQxHD5K251+kX+lTQpqMuUG6KaDSpXREO4k6c2rPLViYzhQr9J5XNJDH8kVi+a+OQf7ECKZEvjceAxOiFIzHA==" saltValue="MzgEG81cyLfFacSwo8TJ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DENIA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-5.7610993657505286E-2</v>
      </c>
      <c r="I9" s="353">
        <f>IF(ISNUMBER((Tasas!C9-Datos!BE9)/Datos!BE9),(Tasas!C9-Datos!BE9)/Datos!BE9," - ")</f>
        <v>0.16298078311419739</v>
      </c>
      <c r="J9" s="352">
        <f>IF(ISNUMBER((Tasas!D9-Datos!BF9)/Datos!BF9),(Tasas!D9-Datos!BF9)/Datos!BF9," - ")</f>
        <v>-0.51566169496613945</v>
      </c>
      <c r="K9" s="354">
        <f>IF(ISNUMBER((Tasas!E9-Datos!BG9)/Datos!BG9),(Tasas!E9-Datos!BG9)/Datos!BG9," - ")</f>
        <v>2.0476077077901816E-2</v>
      </c>
      <c r="M9" t="e">
        <f>IF(Monitorios="SI",Datos!CE9,0)</f>
        <v>#REF!</v>
      </c>
      <c r="N9" t="e">
        <f>IF(Monitorios="SI",Datos!CF9,0)</f>
        <v>#REF!</v>
      </c>
      <c r="O9" t="e">
        <f>IF(Monitorios="SI",Datos!CG9,0)</f>
        <v>#REF!</v>
      </c>
      <c r="P9" t="e">
        <f>IF(Monitorios="SI",Datos!CH9,0)</f>
        <v>#REF!</v>
      </c>
      <c r="Q9">
        <f>IF(J_V="SI",0,Datos!AG9)</f>
        <v>96</v>
      </c>
      <c r="R9">
        <f>IF(J_V="SI",0,Datos!AH9)</f>
        <v>877</v>
      </c>
      <c r="S9">
        <f>IF(J_V="SI",0,Datos!AI9)</f>
        <v>868</v>
      </c>
      <c r="T9">
        <f>IF(J_V="SI",0,Datos!AJ9)</f>
        <v>105</v>
      </c>
    </row>
    <row r="10" spans="2:20" ht="14.25">
      <c r="B10" s="278" t="s">
        <v>246</v>
      </c>
      <c r="C10" s="7" t="str">
        <f>Datos!A10</f>
        <v>Jdos. Violencia contra la mujer</v>
      </c>
      <c r="D10" s="355">
        <f>IF(ISNUMBER((Datos!I10-Datos!S10)/Datos!S10),(Datos!I10-Datos!S10)/Datos!S10," - ")</f>
        <v>7.7777777777777779E-2</v>
      </c>
      <c r="E10" s="351">
        <f>IF(ISNUMBER((Datos!J10-Datos!T10)/Datos!T10),(Datos!J10-Datos!T10)/Datos!T10," - ")</f>
        <v>0.32692307692307693</v>
      </c>
      <c r="F10" s="351">
        <f>IF(ISNUMBER((Datos!K10-Datos!U10)/Datos!U10),(Datos!K10-Datos!U10)/Datos!U10," - ")</f>
        <v>0.65979381443298968</v>
      </c>
      <c r="G10" s="352">
        <f>IF(ISNUMBER((Datos!L10-Datos!V10)/Datos!V10),(Datos!L10-Datos!V10)/Datos!V10," - ")</f>
        <v>-0.23711340206185566</v>
      </c>
      <c r="H10" s="233">
        <f>IF(ISNUMBER((Datos!M10-Datos!W10)/Datos!W10),(Datos!M10-Datos!W10)/Datos!W10," - ")</f>
        <v>2.0408163265306121E-2</v>
      </c>
      <c r="I10" s="353">
        <f>IF(ISNUMBER((Tasas!C10-Datos!BE10)/Datos!BE10),(Tasas!C10-Datos!BE10)/Datos!BE10," - ")</f>
        <v>-0.54037267080745344</v>
      </c>
      <c r="J10" s="352">
        <f>IF(ISNUMBER((Tasas!D10-Datos!BF10)/Datos!BF10),(Tasas!D10-Datos!BF10)/Datos!BF10," - ")</f>
        <v>-0.38521992647990877</v>
      </c>
      <c r="K10" s="354">
        <f>IF(ISNUMBER((Tasas!E10-Datos!BG10)/Datos!BG10),(Tasas!E10-Datos!BG10)/Datos!BG10," - ")</f>
        <v>-0.27018633540372672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-5.5641421947449768E-2</v>
      </c>
      <c r="I13" s="360">
        <f>IF(ISNUMBER((Tasas!C13-Datos!BE13)/Datos!BE13),(Tasas!C13-Datos!BE13)/Datos!BE13," - ")</f>
        <v>0.13986974026906376</v>
      </c>
      <c r="J13" s="358">
        <f>IF(ISNUMBER((Tasas!D13-Datos!BF13)/Datos!BF13),(Tasas!D13-Datos!BF13)/Datos!BF13," - ")</f>
        <v>-0.51213927521994396</v>
      </c>
      <c r="K13" s="361">
        <f>IF(ISNUMBER((Tasas!E13-Datos!BG13)/Datos!BG13),(Tasas!E13-Datos!BG13)/Datos!BG13," - ")</f>
        <v>1.62257877290693E-2</v>
      </c>
      <c r="M13" t="e">
        <f>IF(Monitorios="SI",Datos!CE13,0)</f>
        <v>#REF!</v>
      </c>
      <c r="N13" t="e">
        <f>IF(Monitorios="SI",Datos!CF13,0)</f>
        <v>#REF!</v>
      </c>
      <c r="O13" t="e">
        <f>IF(Monitorios="SI",Datos!CG13,0)</f>
        <v>#REF!</v>
      </c>
      <c r="P13" t="e">
        <f>IF(Monitorios="SI",Datos!CH13,0)</f>
        <v>#REF!</v>
      </c>
      <c r="Q13">
        <f>IF(J_V="SI",0,Datos!AG13)</f>
        <v>96</v>
      </c>
      <c r="R13">
        <f>IF(J_V="SI",0,Datos!AH13)</f>
        <v>877</v>
      </c>
      <c r="S13">
        <f>IF(J_V="SI",0,Datos!AI13)</f>
        <v>868</v>
      </c>
      <c r="T13">
        <f>IF(J_V="SI",0,Datos!AJ13)</f>
        <v>105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0.12905236907730674</v>
      </c>
      <c r="E15" s="351">
        <f>IF(ISNUMBER(
   IF(D_I="SI",(Datos!J15-Datos!T15)/Datos!T15,(Datos!J15+Datos!AD15-(Datos!T15+Datos!AL15))/(Datos!T15+Datos!AL15))
     ),IF(D_I="SI",(Datos!J15-Datos!T15)/Datos!T15,(Datos!J15+Datos!AD15-(Datos!T15+Datos!AL15))/(Datos!T15+Datos!AL15))," - ")</f>
        <v>1.929002009377093E-2</v>
      </c>
      <c r="F15" s="351">
        <f>IF(ISNUMBER(
   IF(D_I="SI",(Datos!K15-Datos!U15)/Datos!U15,(Datos!K15+Datos!AE15-(Datos!U15+Datos!AM15))/(Datos!U15+Datos!AM15))
     ),IF(D_I="SI",(Datos!K15-Datos!U15)/Datos!U15,(Datos!K15+Datos!AE15-(Datos!U15+Datos!AM15))/(Datos!U15+Datos!AM15))," - ")</f>
        <v>-2.4676209952283572E-2</v>
      </c>
      <c r="G15" s="352">
        <f>IF(ISNUMBER(
   IF(D_I="SI",(Datos!L15-Datos!V15)/Datos!V15,(Datos!L15+Datos!AF15-(Datos!V15+Datos!AN15))/(Datos!V15+Datos!AN15))
     ),IF(D_I="SI",(Datos!L15-Datos!V15)/Datos!V15,(Datos!L15+Datos!AF15-(Datos!V15+Datos!AN15))/(Datos!V15+Datos!AN15))," - ")</f>
        <v>0.31198233020430699</v>
      </c>
      <c r="H15" s="233">
        <f>IF(ISNUMBER((Datos!M15-Datos!W15)/Datos!W15),(Datos!M15-Datos!W15)/Datos!W15," - ")</f>
        <v>-7.9710144927536225E-2</v>
      </c>
      <c r="I15" s="353">
        <f>IF(ISNUMBER((Tasas!C15-Datos!BE15)/Datos!BE15),(Tasas!C15-Datos!BE15)/Datos!BE15," - ")</f>
        <v>0.34517618004593126</v>
      </c>
      <c r="J15" s="352">
        <f>IF(ISNUMBER((Tasas!D15-Datos!BF15)/Datos!BF15),(Tasas!D15-Datos!BF15)/Datos!BF15," - ")</f>
        <v>-5.6426322762577308E-2</v>
      </c>
      <c r="K15" s="354">
        <f>IF(ISNUMBER((Tasas!E15-Datos!BG15)/Datos!BG15),(Tasas!E15-Datos!BG15)/Datos!BG15," - ")</f>
        <v>6.498301947671517E-2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-0.1111111111111111</v>
      </c>
      <c r="E16" s="351" t="str">
        <f>IF(ISNUMBER(
   IF(D_I="SI",(Datos!J16-Datos!T16)/Datos!T16,(Datos!J16+Datos!AD16-(Datos!T16+Datos!AL16))/(Datos!T16+Datos!AL16))
     ),IF(D_I="SI",(Datos!J16-Datos!T16)/Datos!T16,(Datos!J16+Datos!AD16-(Datos!T16+Datos!AL16))/(Datos!T16+Datos!AL16))," - ")</f>
        <v xml:space="preserve"> - </v>
      </c>
      <c r="F16" s="351">
        <f>IF(ISNUMBER(
   IF(D_I="SI",(Datos!K16-Datos!U16)/Datos!U16,(Datos!K16+Datos!AE16-(Datos!U16+Datos!AM16))/(Datos!U16+Datos!AM16))
     ),IF(D_I="SI",(Datos!K16-Datos!U16)/Datos!U16,(Datos!K16+Datos!AE16-(Datos!U16+Datos!AM16))/(Datos!U16+Datos!AM16))," - ")</f>
        <v>-1</v>
      </c>
      <c r="G16" s="352">
        <f>IF(ISNUMBER(
   IF(D_I="SI",(Datos!L16-Datos!V16)/Datos!V16,(Datos!L16+Datos!AF16-(Datos!V16+Datos!AN16))/(Datos!V16+Datos!AN16))
     ),IF(D_I="SI",(Datos!L16-Datos!V16)/Datos!V16,(Datos!L16+Datos!AF16-(Datos!V16+Datos!AN16))/(Datos!V16+Datos!AN16))," - ")</f>
        <v>-0.125</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0.5423728813559322</v>
      </c>
      <c r="E17" s="351">
        <f>IF(ISNUMBER(
   IF(D_I="SI",(Datos!J17-Datos!T17)/Datos!T17,(Datos!J17+Datos!AD17-(Datos!T17+Datos!AL17))/(Datos!T17+Datos!AL17))
     ),IF(D_I="SI",(Datos!J17-Datos!T17)/Datos!T17,(Datos!J17+Datos!AD17-(Datos!T17+Datos!AL17))/(Datos!T17+Datos!AL17))," - ")</f>
        <v>-3.5238841033672669E-2</v>
      </c>
      <c r="F17" s="351">
        <f>IF(ISNUMBER(
   IF(D_I="SI",(Datos!K17-Datos!U17)/Datos!U17,(Datos!K17+Datos!AE17-(Datos!U17+Datos!AM17))/(Datos!U17+Datos!AM17))
     ),IF(D_I="SI",(Datos!K17-Datos!U17)/Datos!U17,(Datos!K17+Datos!AE17-(Datos!U17+Datos!AM17))/(Datos!U17+Datos!AM17))," - ")</f>
        <v>2.7914614121510674E-2</v>
      </c>
      <c r="G17" s="352">
        <f>IF(ISNUMBER(
   IF(D_I="SI",(Datos!L17-Datos!V17)/Datos!V17,(Datos!L17+Datos!AF17-(Datos!V17+Datos!AN17))/(Datos!V17+Datos!AN17))
     ),IF(D_I="SI",(Datos!L17-Datos!V17)/Datos!V17,(Datos!L17+Datos!AF17-(Datos!V17+Datos!AN17))/(Datos!V17+Datos!AN17))," - ")</f>
        <v>-9.3406593406593408E-2</v>
      </c>
      <c r="H17" s="233">
        <f>IF(ISNUMBER((Datos!M17-Datos!W17)/Datos!W17),(Datos!M17-Datos!W17)/Datos!W17," - ")</f>
        <v>3.3333333333333333E-2</v>
      </c>
      <c r="I17" s="353">
        <f>IF(ISNUMBER((Tasas!C17-Datos!BE17)/Datos!BE17),(Tasas!C17-Datos!BE17)/Datos!BE17," - ")</f>
        <v>-0.11802654214794803</v>
      </c>
      <c r="J17" s="352">
        <f>IF(ISNUMBER((Tasas!D17-Datos!BF17)/Datos!BF17),(Tasas!D17-Datos!BF17)/Datos!BF17," - ")</f>
        <v>5.2715654952075796E-3</v>
      </c>
      <c r="K17" s="354">
        <f>IF(ISNUMBER((Tasas!E17-Datos!BG17)/Datos!BG17),(Tasas!E17-Datos!BG17)/Datos!BG17," - ")</f>
        <v>-1.390635198735779E-2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0.15459770114942528</v>
      </c>
      <c r="E18" s="357">
        <f>IF(ISNUMBER(
   IF(D_I="SI",(Datos!J18-Datos!T18)/Datos!T18,(Datos!J18+Datos!AD18-(Datos!T18+Datos!AL18))/(Datos!T18+Datos!AL18))
     ),IF(D_I="SI",(Datos!J18-Datos!T18)/Datos!T18,(Datos!J18+Datos!AD18-(Datos!T18+Datos!AL18))/(Datos!T18+Datos!AL18))," - ")</f>
        <v>1.1324639670555936E-2</v>
      </c>
      <c r="F18" s="357">
        <f>IF(ISNUMBER(
   IF(D_I="SI",(Datos!K18-Datos!U18)/Datos!U18,(Datos!K18+Datos!AE18-(Datos!U18+Datos!AM18))/(Datos!U18+Datos!AM18))
     ),IF(D_I="SI",(Datos!K18-Datos!U18)/Datos!U18,(Datos!K18+Datos!AE18-(Datos!U18+Datos!AM18))/(Datos!U18+Datos!AM18))," - ")</f>
        <v>-1.7416715371127996E-2</v>
      </c>
      <c r="G18" s="358">
        <f>IF(ISNUMBER(
   IF(D_I="SI",(Datos!L18-Datos!V18)/Datos!V18,(Datos!L18+Datos!AF18-(Datos!V18+Datos!AN18))/(Datos!V18+Datos!AN18))
     ),IF(D_I="SI",(Datos!L18-Datos!V18)/Datos!V18,(Datos!L18+Datos!AF18-(Datos!V18+Datos!AN18))/(Datos!V18+Datos!AN18))," - ")</f>
        <v>0.27177700348432055</v>
      </c>
      <c r="H18" s="359">
        <f>IF(ISNUMBER((Datos!M18-Datos!W18)/Datos!W18),(Datos!M18-Datos!W18)/Datos!W18," - ")</f>
        <v>-6.1403508771929821E-2</v>
      </c>
      <c r="I18" s="360">
        <f>IF(ISNUMBER((Tasas!C18-Datos!BE18)/Datos!BE18),(Tasas!C18-Datos!BE18)/Datos!BE18," - ")</f>
        <v>0.29431980309402367</v>
      </c>
      <c r="J18" s="358">
        <f>IF(ISNUMBER((Tasas!D18-Datos!BF18)/Datos!BF18),(Tasas!D18-Datos!BF18)/Datos!BF18," - ")</f>
        <v>-4.4766478413497415E-2</v>
      </c>
      <c r="K18" s="361">
        <f>IF(ISNUMBER((Tasas!E18-Datos!BG18)/Datos!BG18),(Tasas!E18-Datos!BG18)/Datos!BG18," - ")</f>
        <v>5.3455539135487187E-2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-5.0764525993883793E-2</v>
      </c>
      <c r="E19" s="366">
        <f>IF(ISNUMBER(
   IF(J_V="SI",(Datos!J19-Datos!T19)/Datos!T19,(Datos!J19+Datos!Z19-(Datos!T19+Datos!AH19))/(Datos!T19+Datos!AH19))
     ),IF(J_V="SI",(Datos!J19-Datos!T19)/Datos!T19,(Datos!J19+Datos!Z19-(Datos!T19+Datos!AH19))/(Datos!T19+Datos!AH19))," - ")</f>
        <v>6.4373177842565604E-2</v>
      </c>
      <c r="F19" s="366">
        <f>IF(ISNUMBER(
   IF(J_V="SI",(Datos!K19-Datos!U19)/Datos!U19,(Datos!K19+Datos!AA19-(Datos!U19+Datos!AI19))/(Datos!U19+Datos!AI19))
     ),IF(J_V="SI",(Datos!K19-Datos!U19)/Datos!U19,(Datos!K19+Datos!AA19-(Datos!U19+Datos!AI19))/(Datos!U19+Datos!AI19))," - ")</f>
        <v>4.2725173210161659E-3</v>
      </c>
      <c r="G19" s="367">
        <f>IF(ISNUMBER(
   IF(J_V="SI",(Datos!L19-Datos!V19)/Datos!V19,(Datos!L19+Datos!AB19-(Datos!V19+Datos!AJ19))/(Datos!V19+Datos!AJ19))
     ),IF(J_V="SI",(Datos!L19-Datos!V19)/Datos!V19,(Datos!L19+Datos!AB19-(Datos!V19+Datos!AJ19))/(Datos!V19+Datos!AJ19))," - ")</f>
        <v>0.21327319587628865</v>
      </c>
      <c r="H19" s="368">
        <f>IF(ISNUMBER((Datos!M19-Datos!W19)/Datos!W19),(Datos!M19-Datos!W19)/Datos!W19," - ")</f>
        <v>-5.8136137890739119E-2</v>
      </c>
      <c r="I19" s="365">
        <f>IF(ISNUMBER((Tasas!C19-Datos!BE19)/Datos!BE19),(Tasas!C19-Datos!BE19)/Datos!BE19," - ")</f>
        <v>0.20811151848783041</v>
      </c>
      <c r="J19" s="366">
        <f>IF(ISNUMBER((Tasas!D19-Datos!BF19)/Datos!BF19),(Tasas!D19-Datos!BF19)/Datos!BF19," - ")</f>
        <v>-0.37615934590379457</v>
      </c>
      <c r="K19" s="367">
        <f>IF(ISNUMBER((Tasas!E19-Datos!BG19)/Datos!BG19),(Tasas!E19-Datos!BG19)/Datos!BG19," - ")</f>
        <v>3.4347452159424453E-2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0.23845701978964132</v>
      </c>
      <c r="E21" s="281">
        <f t="shared" si="1"/>
        <v>0.16598361560329872</v>
      </c>
      <c r="F21" s="281">
        <f t="shared" si="1"/>
        <v>0.59411734662595994</v>
      </c>
      <c r="G21" s="282">
        <f t="shared" si="1"/>
        <v>0.24923844283053911</v>
      </c>
      <c r="H21" s="288">
        <f t="shared" si="1"/>
        <v>4.7661990930210778E-2</v>
      </c>
      <c r="I21" s="280">
        <f t="shared" si="1"/>
        <v>0.32996734144197537</v>
      </c>
      <c r="J21" s="281">
        <f t="shared" si="1"/>
        <v>0.24589403262364445</v>
      </c>
      <c r="K21" s="282">
        <f t="shared" si="1"/>
        <v>0.12504833316635364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Dem5yYKp7t4fUpxy7wvu7kiPmonQ72oWtzuIwjJmz7elbbD97U1Oz4gwK/D7rzhIg8q3/qn3n9JAxVnEyJDWw==" saltValue="xQkcOayGGPh6SfIRp9Lt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